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/Users/alimentos/Dropbox (Old)/Dropbox/64_USDA_Mango_SMETA/2_English_SMETA_Approved/Model_Program/Chapter10B/"/>
    </mc:Choice>
  </mc:AlternateContent>
  <xr:revisionPtr revIDLastSave="0" documentId="13_ncr:1_{4133ED26-9010-C84A-8D1A-BB31EC5B4E98}" xr6:coauthVersionLast="45" xr6:coauthVersionMax="45" xr10:uidLastSave="{00000000-0000-0000-0000-000000000000}"/>
  <bookViews>
    <workbookView xWindow="1680" yWindow="460" windowWidth="24880" windowHeight="18980" activeTab="2" xr2:uid="{00000000-000D-0000-FFFF-FFFF00000000}"/>
  </bookViews>
  <sheets>
    <sheet name="INPUT" sheetId="1" r:id="rId1"/>
    <sheet name="OUTPUT" sheetId="2" r:id="rId2"/>
    <sheet name="STOCK" sheetId="3" r:id="rId3"/>
    <sheet name="DV-IDENTITY-0" sheetId="9" state="veryHidden" r:id="rId4"/>
  </sheets>
  <definedNames>
    <definedName name="IMPRIMIR">STOCK!$B$9:$F$31</definedName>
    <definedName name="SELECCIONAR">STOCK!$B$9:$F$34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3" l="1"/>
  <c r="I5" i="1" l="1"/>
  <c r="I4" i="1"/>
  <c r="I3" i="1"/>
  <c r="I5" i="2"/>
  <c r="I4" i="2"/>
  <c r="I3" i="2"/>
  <c r="I5" i="3" l="1"/>
  <c r="I4" i="3"/>
  <c r="I3" i="3"/>
  <c r="K45" i="1" l="1"/>
  <c r="J14" i="1" l="1"/>
  <c r="J15" i="1"/>
  <c r="K15" i="1" s="1"/>
  <c r="E15" i="3" s="1"/>
  <c r="J16" i="1"/>
  <c r="K16" i="1" s="1"/>
  <c r="E16" i="3" s="1"/>
  <c r="J17" i="1"/>
  <c r="J18" i="1"/>
  <c r="K18" i="1" s="1"/>
  <c r="J19" i="1"/>
  <c r="K19" i="1" s="1"/>
  <c r="E19" i="3" s="1"/>
  <c r="J20" i="1"/>
  <c r="K20" i="1" s="1"/>
  <c r="E20" i="3" s="1"/>
  <c r="J21" i="1"/>
  <c r="J22" i="1"/>
  <c r="K22" i="1" s="1"/>
  <c r="J23" i="1"/>
  <c r="K23" i="1" s="1"/>
  <c r="E23" i="3" s="1"/>
  <c r="J24" i="1"/>
  <c r="K24" i="1" s="1"/>
  <c r="E24" i="3" s="1"/>
  <c r="J25" i="1"/>
  <c r="J26" i="1"/>
  <c r="K26" i="1" s="1"/>
  <c r="J27" i="1"/>
  <c r="K27" i="1" s="1"/>
  <c r="E27" i="3" s="1"/>
  <c r="J28" i="1"/>
  <c r="K28" i="1" s="1"/>
  <c r="E28" i="3" s="1"/>
  <c r="J29" i="1"/>
  <c r="J30" i="1"/>
  <c r="K30" i="1" s="1"/>
  <c r="J31" i="1"/>
  <c r="K31" i="1" s="1"/>
  <c r="E31" i="3" s="1"/>
  <c r="J32" i="1"/>
  <c r="K32" i="1" s="1"/>
  <c r="E32" i="3" s="1"/>
  <c r="J33" i="1"/>
  <c r="J34" i="1"/>
  <c r="K34" i="1" s="1"/>
  <c r="J35" i="1"/>
  <c r="K35" i="1" s="1"/>
  <c r="E35" i="3" s="1"/>
  <c r="J36" i="1"/>
  <c r="K36" i="1" s="1"/>
  <c r="E36" i="3" s="1"/>
  <c r="J37" i="1"/>
  <c r="J38" i="1"/>
  <c r="K38" i="1" s="1"/>
  <c r="J39" i="1"/>
  <c r="K39" i="1" s="1"/>
  <c r="J40" i="1"/>
  <c r="K40" i="1" s="1"/>
  <c r="J41" i="1"/>
  <c r="J42" i="1"/>
  <c r="K42" i="1" s="1"/>
  <c r="J43" i="1"/>
  <c r="K43" i="1" s="1"/>
  <c r="J44" i="1"/>
  <c r="K44" i="1" s="1"/>
  <c r="J45" i="1"/>
  <c r="J46" i="1"/>
  <c r="K46" i="1" s="1"/>
  <c r="J47" i="1"/>
  <c r="K47" i="1" s="1"/>
  <c r="J48" i="1"/>
  <c r="J49" i="1"/>
  <c r="J50" i="1"/>
  <c r="K50" i="1" s="1"/>
  <c r="J51" i="1"/>
  <c r="K51" i="1" s="1"/>
  <c r="J52" i="1"/>
  <c r="J53" i="1"/>
  <c r="K53" i="1" s="1"/>
  <c r="J54" i="1"/>
  <c r="K54" i="1" s="1"/>
  <c r="J13" i="1"/>
  <c r="K13" i="1" s="1"/>
  <c r="E13" i="3" s="1"/>
  <c r="J52" i="2"/>
  <c r="K52" i="2" s="1"/>
  <c r="J14" i="2"/>
  <c r="K14" i="2" s="1"/>
  <c r="F14" i="3" s="1"/>
  <c r="J15" i="2"/>
  <c r="K15" i="2" s="1"/>
  <c r="F15" i="3" s="1"/>
  <c r="J16" i="2"/>
  <c r="K16" i="2" s="1"/>
  <c r="F16" i="3" s="1"/>
  <c r="J17" i="2"/>
  <c r="K17" i="2" s="1"/>
  <c r="F17" i="3" s="1"/>
  <c r="J18" i="2"/>
  <c r="K18" i="2" s="1"/>
  <c r="F18" i="3" s="1"/>
  <c r="J19" i="2"/>
  <c r="K19" i="2" s="1"/>
  <c r="F19" i="3" s="1"/>
  <c r="J20" i="2"/>
  <c r="K20" i="2" s="1"/>
  <c r="F20" i="3" s="1"/>
  <c r="J21" i="2"/>
  <c r="K21" i="2" s="1"/>
  <c r="F21" i="3" s="1"/>
  <c r="J22" i="2"/>
  <c r="K22" i="2" s="1"/>
  <c r="F22" i="3" s="1"/>
  <c r="J23" i="2"/>
  <c r="K23" i="2" s="1"/>
  <c r="F23" i="3" s="1"/>
  <c r="J24" i="2"/>
  <c r="K24" i="2" s="1"/>
  <c r="F24" i="3" s="1"/>
  <c r="J25" i="2"/>
  <c r="K25" i="2" s="1"/>
  <c r="F25" i="3" s="1"/>
  <c r="J26" i="2"/>
  <c r="K26" i="2" s="1"/>
  <c r="F26" i="3" s="1"/>
  <c r="J27" i="2"/>
  <c r="K27" i="2" s="1"/>
  <c r="F27" i="3" s="1"/>
  <c r="J28" i="2"/>
  <c r="K28" i="2" s="1"/>
  <c r="F28" i="3" s="1"/>
  <c r="J29" i="2"/>
  <c r="K29" i="2" s="1"/>
  <c r="F29" i="3" s="1"/>
  <c r="J30" i="2"/>
  <c r="K30" i="2" s="1"/>
  <c r="F30" i="3" s="1"/>
  <c r="J31" i="2"/>
  <c r="K31" i="2" s="1"/>
  <c r="F31" i="3" s="1"/>
  <c r="J32" i="2"/>
  <c r="K32" i="2" s="1"/>
  <c r="F32" i="3" s="1"/>
  <c r="J33" i="2"/>
  <c r="K33" i="2" s="1"/>
  <c r="F33" i="3" s="1"/>
  <c r="J34" i="2"/>
  <c r="K34" i="2" s="1"/>
  <c r="F34" i="3" s="1"/>
  <c r="J35" i="2"/>
  <c r="K35" i="2" s="1"/>
  <c r="F35" i="3" s="1"/>
  <c r="J36" i="2"/>
  <c r="K36" i="2" s="1"/>
  <c r="F36" i="3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3" i="2"/>
  <c r="K53" i="2" s="1"/>
  <c r="J54" i="2"/>
  <c r="K54" i="2" s="1"/>
  <c r="J13" i="2"/>
  <c r="K13" i="2" s="1"/>
  <c r="F13" i="3" s="1"/>
  <c r="K14" i="1"/>
  <c r="E14" i="3" s="1"/>
  <c r="K49" i="1" l="1"/>
  <c r="K41" i="1"/>
  <c r="K37" i="1"/>
  <c r="E34" i="3"/>
  <c r="D34" i="3" s="1"/>
  <c r="EW34" i="9" s="1"/>
  <c r="K33" i="1"/>
  <c r="E33" i="3" s="1"/>
  <c r="D33" i="3" s="1"/>
  <c r="EL34" i="9" s="1"/>
  <c r="E30" i="3"/>
  <c r="D30" i="3" s="1"/>
  <c r="K29" i="1"/>
  <c r="E29" i="3" s="1"/>
  <c r="D29" i="3" s="1"/>
  <c r="IA99" i="9" s="1"/>
  <c r="E26" i="3"/>
  <c r="D26" i="3" s="1"/>
  <c r="K25" i="1"/>
  <c r="E25" i="3" s="1"/>
  <c r="D25" i="3" s="1"/>
  <c r="BJ34" i="9" s="1"/>
  <c r="E22" i="3"/>
  <c r="D22" i="3" s="1"/>
  <c r="K21" i="1"/>
  <c r="E21" i="3" s="1"/>
  <c r="D21" i="3" s="1"/>
  <c r="R34" i="9" s="1"/>
  <c r="E18" i="3"/>
  <c r="IS33" i="9" s="1"/>
  <c r="K17" i="1"/>
  <c r="E17" i="3" s="1"/>
  <c r="D17" i="3" s="1"/>
  <c r="IG33" i="9" s="1"/>
  <c r="K52" i="1"/>
  <c r="K48" i="1"/>
  <c r="D13" i="3"/>
  <c r="D14" i="3"/>
  <c r="GZ33" i="9" s="1"/>
  <c r="D15" i="3"/>
  <c r="D16" i="3"/>
  <c r="HV33" i="9" s="1"/>
  <c r="D19" i="3"/>
  <c r="HP99" i="9" s="1"/>
  <c r="D20" i="3"/>
  <c r="G34" i="9" s="1"/>
  <c r="D23" i="3"/>
  <c r="AN34" i="9" s="1"/>
  <c r="D24" i="3"/>
  <c r="AY34" i="9" s="1"/>
  <c r="D27" i="3"/>
  <c r="D28" i="3"/>
  <c r="CQ34" i="9" s="1"/>
  <c r="D31" i="3"/>
  <c r="DM34" i="9" s="1"/>
  <c r="D32" i="3"/>
  <c r="DX34" i="9" s="1"/>
  <c r="D35" i="3"/>
  <c r="D36" i="3"/>
  <c r="A99" i="9"/>
  <c r="B99" i="9"/>
  <c r="C99" i="9"/>
  <c r="D99" i="9"/>
  <c r="E99" i="9"/>
  <c r="F99" i="9"/>
  <c r="G99" i="9"/>
  <c r="H99" i="9"/>
  <c r="I99" i="9"/>
  <c r="J99" i="9"/>
  <c r="K99" i="9"/>
  <c r="L99" i="9"/>
  <c r="M99" i="9"/>
  <c r="N99" i="9"/>
  <c r="O99" i="9"/>
  <c r="P99" i="9"/>
  <c r="Q99" i="9"/>
  <c r="R99" i="9"/>
  <c r="S99" i="9"/>
  <c r="T99" i="9"/>
  <c r="U99" i="9"/>
  <c r="V99" i="9"/>
  <c r="W99" i="9"/>
  <c r="X99" i="9"/>
  <c r="Y99" i="9"/>
  <c r="Z99" i="9"/>
  <c r="AA99" i="9"/>
  <c r="AB99" i="9"/>
  <c r="AC99" i="9"/>
  <c r="AD99" i="9"/>
  <c r="AE99" i="9"/>
  <c r="AF99" i="9"/>
  <c r="AG99" i="9"/>
  <c r="AH99" i="9"/>
  <c r="AI99" i="9"/>
  <c r="AJ99" i="9"/>
  <c r="AK99" i="9"/>
  <c r="AL99" i="9"/>
  <c r="AM99" i="9"/>
  <c r="AN99" i="9"/>
  <c r="AO99" i="9"/>
  <c r="AP99" i="9"/>
  <c r="AQ99" i="9"/>
  <c r="AR99" i="9"/>
  <c r="AS99" i="9"/>
  <c r="AT99" i="9"/>
  <c r="AU99" i="9"/>
  <c r="AV99" i="9"/>
  <c r="AW99" i="9"/>
  <c r="AX99" i="9"/>
  <c r="AY99" i="9"/>
  <c r="AZ99" i="9"/>
  <c r="BA99" i="9"/>
  <c r="BB99" i="9"/>
  <c r="BC99" i="9"/>
  <c r="BD99" i="9"/>
  <c r="BE99" i="9"/>
  <c r="BF99" i="9"/>
  <c r="BG99" i="9"/>
  <c r="BH99" i="9"/>
  <c r="BI99" i="9"/>
  <c r="BJ99" i="9"/>
  <c r="BK99" i="9"/>
  <c r="BL99" i="9"/>
  <c r="BM99" i="9"/>
  <c r="BN99" i="9"/>
  <c r="BO99" i="9"/>
  <c r="BP99" i="9"/>
  <c r="BQ99" i="9"/>
  <c r="BR99" i="9"/>
  <c r="BS99" i="9"/>
  <c r="BT99" i="9"/>
  <c r="BU99" i="9"/>
  <c r="BV99" i="9"/>
  <c r="BW99" i="9"/>
  <c r="BX99" i="9"/>
  <c r="BY99" i="9"/>
  <c r="BZ99" i="9"/>
  <c r="CA99" i="9"/>
  <c r="CB99" i="9"/>
  <c r="CC99" i="9"/>
  <c r="CD99" i="9"/>
  <c r="CE99" i="9"/>
  <c r="CF99" i="9"/>
  <c r="CG99" i="9"/>
  <c r="CH99" i="9"/>
  <c r="CI99" i="9"/>
  <c r="CJ99" i="9"/>
  <c r="CK99" i="9"/>
  <c r="CL99" i="9"/>
  <c r="CM99" i="9"/>
  <c r="CN99" i="9"/>
  <c r="CO99" i="9"/>
  <c r="CP99" i="9"/>
  <c r="CQ99" i="9"/>
  <c r="CR99" i="9"/>
  <c r="CS99" i="9"/>
  <c r="CT99" i="9"/>
  <c r="CU99" i="9"/>
  <c r="CV99" i="9"/>
  <c r="CW99" i="9"/>
  <c r="CX99" i="9"/>
  <c r="CY99" i="9"/>
  <c r="CZ99" i="9"/>
  <c r="DA99" i="9"/>
  <c r="DB99" i="9"/>
  <c r="DC99" i="9"/>
  <c r="DD99" i="9"/>
  <c r="DE99" i="9"/>
  <c r="DF99" i="9"/>
  <c r="DG99" i="9"/>
  <c r="DH99" i="9"/>
  <c r="DI99" i="9"/>
  <c r="DJ99" i="9"/>
  <c r="DK99" i="9"/>
  <c r="DL99" i="9"/>
  <c r="DM99" i="9"/>
  <c r="DN99" i="9"/>
  <c r="DO99" i="9"/>
  <c r="DP99" i="9"/>
  <c r="DQ99" i="9"/>
  <c r="DR99" i="9"/>
  <c r="DS99" i="9"/>
  <c r="DT99" i="9"/>
  <c r="DU99" i="9"/>
  <c r="DV99" i="9"/>
  <c r="DW99" i="9"/>
  <c r="DX99" i="9"/>
  <c r="DY99" i="9"/>
  <c r="DZ99" i="9"/>
  <c r="EA99" i="9"/>
  <c r="EB99" i="9"/>
  <c r="EC99" i="9"/>
  <c r="ED99" i="9"/>
  <c r="EE99" i="9"/>
  <c r="EF99" i="9"/>
  <c r="EG99" i="9"/>
  <c r="EH99" i="9"/>
  <c r="EI99" i="9"/>
  <c r="EJ99" i="9"/>
  <c r="EK99" i="9"/>
  <c r="EL99" i="9"/>
  <c r="EM99" i="9"/>
  <c r="EN99" i="9"/>
  <c r="EO99" i="9"/>
  <c r="EP99" i="9"/>
  <c r="EQ99" i="9"/>
  <c r="ER99" i="9"/>
  <c r="ES99" i="9"/>
  <c r="ET99" i="9"/>
  <c r="EU99" i="9"/>
  <c r="EV99" i="9"/>
  <c r="EW99" i="9"/>
  <c r="EX99" i="9"/>
  <c r="EY99" i="9"/>
  <c r="EZ99" i="9"/>
  <c r="FA99" i="9"/>
  <c r="FB99" i="9"/>
  <c r="FC99" i="9"/>
  <c r="FD99" i="9"/>
  <c r="FE99" i="9"/>
  <c r="FF99" i="9"/>
  <c r="FG99" i="9"/>
  <c r="FH99" i="9"/>
  <c r="FI99" i="9"/>
  <c r="FJ99" i="9"/>
  <c r="FK99" i="9"/>
  <c r="FL99" i="9"/>
  <c r="FM99" i="9"/>
  <c r="FN99" i="9"/>
  <c r="FO99" i="9"/>
  <c r="FP99" i="9"/>
  <c r="FQ99" i="9"/>
  <c r="FR99" i="9"/>
  <c r="FS99" i="9"/>
  <c r="FT99" i="9"/>
  <c r="FU99" i="9"/>
  <c r="FV99" i="9"/>
  <c r="FW99" i="9"/>
  <c r="FX99" i="9"/>
  <c r="FY99" i="9"/>
  <c r="FZ99" i="9"/>
  <c r="GA99" i="9"/>
  <c r="GB99" i="9"/>
  <c r="GC99" i="9"/>
  <c r="GD99" i="9"/>
  <c r="GE99" i="9"/>
  <c r="GF99" i="9"/>
  <c r="GG99" i="9"/>
  <c r="GH99" i="9"/>
  <c r="GI99" i="9"/>
  <c r="GJ99" i="9"/>
  <c r="GK99" i="9"/>
  <c r="GL99" i="9"/>
  <c r="GM99" i="9"/>
  <c r="GN99" i="9"/>
  <c r="GO99" i="9"/>
  <c r="GP99" i="9"/>
  <c r="GQ99" i="9"/>
  <c r="GR99" i="9"/>
  <c r="GS99" i="9"/>
  <c r="GT99" i="9"/>
  <c r="GU99" i="9"/>
  <c r="GV99" i="9"/>
  <c r="GW99" i="9"/>
  <c r="GX99" i="9"/>
  <c r="GY99" i="9"/>
  <c r="GZ99" i="9"/>
  <c r="HA99" i="9"/>
  <c r="HB99" i="9"/>
  <c r="HC99" i="9"/>
  <c r="HD99" i="9"/>
  <c r="HE99" i="9"/>
  <c r="HF99" i="9"/>
  <c r="HG99" i="9"/>
  <c r="HH99" i="9"/>
  <c r="HI99" i="9"/>
  <c r="HJ99" i="9"/>
  <c r="HK99" i="9"/>
  <c r="HL99" i="9"/>
  <c r="HM99" i="9"/>
  <c r="HN99" i="9"/>
  <c r="HO99" i="9"/>
  <c r="HQ99" i="9"/>
  <c r="HR99" i="9"/>
  <c r="HS99" i="9"/>
  <c r="HT99" i="9"/>
  <c r="HU99" i="9"/>
  <c r="HV99" i="9"/>
  <c r="HW99" i="9"/>
  <c r="HX99" i="9"/>
  <c r="HY99" i="9"/>
  <c r="HZ99" i="9"/>
  <c r="IB99" i="9"/>
  <c r="IC99" i="9"/>
  <c r="ID99" i="9"/>
  <c r="IE99" i="9"/>
  <c r="IF99" i="9"/>
  <c r="IG99" i="9"/>
  <c r="IH99" i="9"/>
  <c r="II99" i="9"/>
  <c r="A98" i="9"/>
  <c r="B98" i="9"/>
  <c r="C98" i="9"/>
  <c r="D98" i="9"/>
  <c r="E98" i="9"/>
  <c r="F98" i="9"/>
  <c r="G98" i="9"/>
  <c r="H98" i="9"/>
  <c r="I98" i="9"/>
  <c r="J98" i="9"/>
  <c r="K98" i="9"/>
  <c r="L98" i="9"/>
  <c r="M98" i="9"/>
  <c r="N98" i="9"/>
  <c r="O98" i="9"/>
  <c r="P98" i="9"/>
  <c r="Q98" i="9"/>
  <c r="R98" i="9"/>
  <c r="S98" i="9"/>
  <c r="T98" i="9"/>
  <c r="U98" i="9"/>
  <c r="V98" i="9"/>
  <c r="W98" i="9"/>
  <c r="X98" i="9"/>
  <c r="Y98" i="9"/>
  <c r="Z98" i="9"/>
  <c r="AA98" i="9"/>
  <c r="AB98" i="9"/>
  <c r="AC98" i="9"/>
  <c r="AD98" i="9"/>
  <c r="AE98" i="9"/>
  <c r="AF98" i="9"/>
  <c r="AG98" i="9"/>
  <c r="AH98" i="9"/>
  <c r="AI98" i="9"/>
  <c r="AJ98" i="9"/>
  <c r="AK98" i="9"/>
  <c r="AL98" i="9"/>
  <c r="AM98" i="9"/>
  <c r="AN98" i="9"/>
  <c r="AO98" i="9"/>
  <c r="AP98" i="9"/>
  <c r="AQ98" i="9"/>
  <c r="AR98" i="9"/>
  <c r="AS98" i="9"/>
  <c r="AT98" i="9"/>
  <c r="AU98" i="9"/>
  <c r="AV98" i="9"/>
  <c r="AW98" i="9"/>
  <c r="AX98" i="9"/>
  <c r="AY98" i="9"/>
  <c r="AZ98" i="9"/>
  <c r="BA98" i="9"/>
  <c r="BB98" i="9"/>
  <c r="BC98" i="9"/>
  <c r="BD98" i="9"/>
  <c r="BE98" i="9"/>
  <c r="BF98" i="9"/>
  <c r="BG98" i="9"/>
  <c r="BH98" i="9"/>
  <c r="BI98" i="9"/>
  <c r="BJ98" i="9"/>
  <c r="BK98" i="9"/>
  <c r="BL98" i="9"/>
  <c r="BM98" i="9"/>
  <c r="BN98" i="9"/>
  <c r="BO98" i="9"/>
  <c r="BP98" i="9"/>
  <c r="BQ98" i="9"/>
  <c r="BR98" i="9"/>
  <c r="BS98" i="9"/>
  <c r="BT98" i="9"/>
  <c r="BU98" i="9"/>
  <c r="BV98" i="9"/>
  <c r="BW98" i="9"/>
  <c r="BX98" i="9"/>
  <c r="BY98" i="9"/>
  <c r="BZ98" i="9"/>
  <c r="CA98" i="9"/>
  <c r="CB98" i="9"/>
  <c r="CC98" i="9"/>
  <c r="CD98" i="9"/>
  <c r="CE98" i="9"/>
  <c r="CF98" i="9"/>
  <c r="CG98" i="9"/>
  <c r="CH98" i="9"/>
  <c r="CI98" i="9"/>
  <c r="CJ98" i="9"/>
  <c r="CK98" i="9"/>
  <c r="CL98" i="9"/>
  <c r="CM98" i="9"/>
  <c r="CN98" i="9"/>
  <c r="CO98" i="9"/>
  <c r="CP98" i="9"/>
  <c r="CQ98" i="9"/>
  <c r="CR98" i="9"/>
  <c r="CS98" i="9"/>
  <c r="CT98" i="9"/>
  <c r="CU98" i="9"/>
  <c r="CV98" i="9"/>
  <c r="CW98" i="9"/>
  <c r="CX98" i="9"/>
  <c r="CY98" i="9"/>
  <c r="CZ98" i="9"/>
  <c r="DA98" i="9"/>
  <c r="DB98" i="9"/>
  <c r="DC98" i="9"/>
  <c r="DD98" i="9"/>
  <c r="DE98" i="9"/>
  <c r="DF98" i="9"/>
  <c r="DG98" i="9"/>
  <c r="DH98" i="9"/>
  <c r="DI98" i="9"/>
  <c r="DJ98" i="9"/>
  <c r="DK98" i="9"/>
  <c r="DL98" i="9"/>
  <c r="DM98" i="9"/>
  <c r="DN98" i="9"/>
  <c r="DO98" i="9"/>
  <c r="DP98" i="9"/>
  <c r="DQ98" i="9"/>
  <c r="DR98" i="9"/>
  <c r="DS98" i="9"/>
  <c r="DT98" i="9"/>
  <c r="DU98" i="9"/>
  <c r="DV98" i="9"/>
  <c r="DW98" i="9"/>
  <c r="DX98" i="9"/>
  <c r="DY98" i="9"/>
  <c r="DZ98" i="9"/>
  <c r="EA98" i="9"/>
  <c r="EB98" i="9"/>
  <c r="EC98" i="9"/>
  <c r="ED98" i="9"/>
  <c r="EE98" i="9"/>
  <c r="EF98" i="9"/>
  <c r="EG98" i="9"/>
  <c r="EH98" i="9"/>
  <c r="EI98" i="9"/>
  <c r="EJ98" i="9"/>
  <c r="EK98" i="9"/>
  <c r="EL98" i="9"/>
  <c r="EM98" i="9"/>
  <c r="EN98" i="9"/>
  <c r="EO98" i="9"/>
  <c r="EP98" i="9"/>
  <c r="EQ98" i="9"/>
  <c r="ER98" i="9"/>
  <c r="ES98" i="9"/>
  <c r="ET98" i="9"/>
  <c r="EU98" i="9"/>
  <c r="EV98" i="9"/>
  <c r="EW98" i="9"/>
  <c r="EX98" i="9"/>
  <c r="EY98" i="9"/>
  <c r="EZ98" i="9"/>
  <c r="FA98" i="9"/>
  <c r="FB98" i="9"/>
  <c r="FC98" i="9"/>
  <c r="FD98" i="9"/>
  <c r="FE98" i="9"/>
  <c r="FF98" i="9"/>
  <c r="FG98" i="9"/>
  <c r="FH98" i="9"/>
  <c r="FI98" i="9"/>
  <c r="FJ98" i="9"/>
  <c r="FK98" i="9"/>
  <c r="FL98" i="9"/>
  <c r="FM98" i="9"/>
  <c r="FN98" i="9"/>
  <c r="FO98" i="9"/>
  <c r="FP98" i="9"/>
  <c r="FQ98" i="9"/>
  <c r="FR98" i="9"/>
  <c r="FS98" i="9"/>
  <c r="FT98" i="9"/>
  <c r="FU98" i="9"/>
  <c r="FV98" i="9"/>
  <c r="FW98" i="9"/>
  <c r="FX98" i="9"/>
  <c r="FY98" i="9"/>
  <c r="FZ98" i="9"/>
  <c r="GA98" i="9"/>
  <c r="GB98" i="9"/>
  <c r="GC98" i="9"/>
  <c r="GD98" i="9"/>
  <c r="GE98" i="9"/>
  <c r="GF98" i="9"/>
  <c r="GG98" i="9"/>
  <c r="GH98" i="9"/>
  <c r="GI98" i="9"/>
  <c r="GJ98" i="9"/>
  <c r="GK98" i="9"/>
  <c r="GL98" i="9"/>
  <c r="GM98" i="9"/>
  <c r="GN98" i="9"/>
  <c r="GO98" i="9"/>
  <c r="GP98" i="9"/>
  <c r="GQ98" i="9"/>
  <c r="GR98" i="9"/>
  <c r="GS98" i="9"/>
  <c r="GT98" i="9"/>
  <c r="GU98" i="9"/>
  <c r="GV98" i="9"/>
  <c r="GW98" i="9"/>
  <c r="GX98" i="9"/>
  <c r="GY98" i="9"/>
  <c r="GZ98" i="9"/>
  <c r="HA98" i="9"/>
  <c r="HB98" i="9"/>
  <c r="A96" i="9"/>
  <c r="B96" i="9"/>
  <c r="C96" i="9"/>
  <c r="D96" i="9"/>
  <c r="E96" i="9"/>
  <c r="F96" i="9"/>
  <c r="G96" i="9"/>
  <c r="H96" i="9"/>
  <c r="I96" i="9"/>
  <c r="J96" i="9"/>
  <c r="K96" i="9"/>
  <c r="L96" i="9"/>
  <c r="M96" i="9"/>
  <c r="N96" i="9"/>
  <c r="O96" i="9"/>
  <c r="P96" i="9"/>
  <c r="Q96" i="9"/>
  <c r="R96" i="9"/>
  <c r="S96" i="9"/>
  <c r="T96" i="9"/>
  <c r="U96" i="9"/>
  <c r="V96" i="9"/>
  <c r="W96" i="9"/>
  <c r="X96" i="9"/>
  <c r="Y96" i="9"/>
  <c r="Z96" i="9"/>
  <c r="AA96" i="9"/>
  <c r="AB96" i="9"/>
  <c r="AC96" i="9"/>
  <c r="AD96" i="9"/>
  <c r="AE96" i="9"/>
  <c r="AF96" i="9"/>
  <c r="AG96" i="9"/>
  <c r="AH96" i="9"/>
  <c r="AI96" i="9"/>
  <c r="AJ96" i="9"/>
  <c r="AK96" i="9"/>
  <c r="AL96" i="9"/>
  <c r="AM96" i="9"/>
  <c r="AN96" i="9"/>
  <c r="AO96" i="9"/>
  <c r="AP96" i="9"/>
  <c r="AQ96" i="9"/>
  <c r="AR96" i="9"/>
  <c r="AS96" i="9"/>
  <c r="AT96" i="9"/>
  <c r="AU96" i="9"/>
  <c r="AV96" i="9"/>
  <c r="AW96" i="9"/>
  <c r="AX96" i="9"/>
  <c r="AY96" i="9"/>
  <c r="AZ96" i="9"/>
  <c r="BA96" i="9"/>
  <c r="BB96" i="9"/>
  <c r="BC96" i="9"/>
  <c r="BD96" i="9"/>
  <c r="BE96" i="9"/>
  <c r="BF96" i="9"/>
  <c r="BG96" i="9"/>
  <c r="BH96" i="9"/>
  <c r="BI96" i="9"/>
  <c r="BJ96" i="9"/>
  <c r="BK96" i="9"/>
  <c r="BL96" i="9"/>
  <c r="BM96" i="9"/>
  <c r="BN96" i="9"/>
  <c r="BO96" i="9"/>
  <c r="BP96" i="9"/>
  <c r="BQ96" i="9"/>
  <c r="BR96" i="9"/>
  <c r="BS96" i="9"/>
  <c r="BT96" i="9"/>
  <c r="BU96" i="9"/>
  <c r="BV96" i="9"/>
  <c r="BW96" i="9"/>
  <c r="BX96" i="9"/>
  <c r="BY96" i="9"/>
  <c r="BZ96" i="9"/>
  <c r="CA96" i="9"/>
  <c r="CB96" i="9"/>
  <c r="CC96" i="9"/>
  <c r="CD96" i="9"/>
  <c r="CE96" i="9"/>
  <c r="CF96" i="9"/>
  <c r="CG96" i="9"/>
  <c r="CH96" i="9"/>
  <c r="CI96" i="9"/>
  <c r="CJ96" i="9"/>
  <c r="CK96" i="9"/>
  <c r="CL96" i="9"/>
  <c r="CM96" i="9"/>
  <c r="CN96" i="9"/>
  <c r="CO96" i="9"/>
  <c r="CP96" i="9"/>
  <c r="CQ96" i="9"/>
  <c r="CR96" i="9"/>
  <c r="CS96" i="9"/>
  <c r="CT96" i="9"/>
  <c r="CU96" i="9"/>
  <c r="CV96" i="9"/>
  <c r="CW96" i="9"/>
  <c r="CX96" i="9"/>
  <c r="CY96" i="9"/>
  <c r="CZ96" i="9"/>
  <c r="DA96" i="9"/>
  <c r="DB96" i="9"/>
  <c r="DC96" i="9"/>
  <c r="DD96" i="9"/>
  <c r="DE96" i="9"/>
  <c r="DF96" i="9"/>
  <c r="DG96" i="9"/>
  <c r="DH96" i="9"/>
  <c r="DI96" i="9"/>
  <c r="DJ96" i="9"/>
  <c r="DK96" i="9"/>
  <c r="DL96" i="9"/>
  <c r="DM96" i="9"/>
  <c r="DN96" i="9"/>
  <c r="DO96" i="9"/>
  <c r="DP96" i="9"/>
  <c r="DQ96" i="9"/>
  <c r="DR96" i="9"/>
  <c r="DS96" i="9"/>
  <c r="DT96" i="9"/>
  <c r="DU96" i="9"/>
  <c r="DV96" i="9"/>
  <c r="DW96" i="9"/>
  <c r="DX96" i="9"/>
  <c r="DY96" i="9"/>
  <c r="DZ96" i="9"/>
  <c r="EA96" i="9"/>
  <c r="EB96" i="9"/>
  <c r="EC96" i="9"/>
  <c r="ED96" i="9"/>
  <c r="EE96" i="9"/>
  <c r="EF96" i="9"/>
  <c r="EG96" i="9"/>
  <c r="EH96" i="9"/>
  <c r="EI96" i="9"/>
  <c r="EJ96" i="9"/>
  <c r="EK96" i="9"/>
  <c r="EL96" i="9"/>
  <c r="EM96" i="9"/>
  <c r="EN96" i="9"/>
  <c r="EO96" i="9"/>
  <c r="EP96" i="9"/>
  <c r="EQ96" i="9"/>
  <c r="ER96" i="9"/>
  <c r="ES96" i="9"/>
  <c r="ET96" i="9"/>
  <c r="EU96" i="9"/>
  <c r="EV96" i="9"/>
  <c r="EW96" i="9"/>
  <c r="EX96" i="9"/>
  <c r="EY96" i="9"/>
  <c r="EZ96" i="9"/>
  <c r="FA96" i="9"/>
  <c r="FB96" i="9"/>
  <c r="FC96" i="9"/>
  <c r="FD96" i="9"/>
  <c r="FE96" i="9"/>
  <c r="FF96" i="9"/>
  <c r="FG96" i="9"/>
  <c r="FH96" i="9"/>
  <c r="FI96" i="9"/>
  <c r="FJ96" i="9"/>
  <c r="FK96" i="9"/>
  <c r="FL96" i="9"/>
  <c r="FM96" i="9"/>
  <c r="FN96" i="9"/>
  <c r="FO96" i="9"/>
  <c r="FP96" i="9"/>
  <c r="FQ96" i="9"/>
  <c r="FR96" i="9"/>
  <c r="FS96" i="9"/>
  <c r="FT96" i="9"/>
  <c r="FU96" i="9"/>
  <c r="FV96" i="9"/>
  <c r="FW96" i="9"/>
  <c r="FX96" i="9"/>
  <c r="FY96" i="9"/>
  <c r="FZ96" i="9"/>
  <c r="GA96" i="9"/>
  <c r="GB96" i="9"/>
  <c r="GC96" i="9"/>
  <c r="GD96" i="9"/>
  <c r="GE96" i="9"/>
  <c r="GF96" i="9"/>
  <c r="GG96" i="9"/>
  <c r="GH96" i="9"/>
  <c r="GI96" i="9"/>
  <c r="GJ96" i="9"/>
  <c r="GK96" i="9"/>
  <c r="GL96" i="9"/>
  <c r="GM96" i="9"/>
  <c r="GN96" i="9"/>
  <c r="GO96" i="9"/>
  <c r="GP96" i="9"/>
  <c r="GQ96" i="9"/>
  <c r="GR96" i="9"/>
  <c r="GS96" i="9"/>
  <c r="GT96" i="9"/>
  <c r="GU96" i="9"/>
  <c r="GV96" i="9"/>
  <c r="GW96" i="9"/>
  <c r="GX96" i="9"/>
  <c r="GY96" i="9"/>
  <c r="GZ96" i="9"/>
  <c r="HA96" i="9"/>
  <c r="HB96" i="9"/>
  <c r="HC96" i="9"/>
  <c r="HD96" i="9"/>
  <c r="HE96" i="9"/>
  <c r="HF96" i="9"/>
  <c r="HG96" i="9"/>
  <c r="HH96" i="9"/>
  <c r="HI96" i="9"/>
  <c r="HJ96" i="9"/>
  <c r="HK96" i="9"/>
  <c r="HL96" i="9"/>
  <c r="HM96" i="9"/>
  <c r="HN96" i="9"/>
  <c r="HO96" i="9"/>
  <c r="HP96" i="9"/>
  <c r="HQ96" i="9"/>
  <c r="HR96" i="9"/>
  <c r="HS96" i="9"/>
  <c r="HT96" i="9"/>
  <c r="HU96" i="9"/>
  <c r="HV96" i="9"/>
  <c r="HW96" i="9"/>
  <c r="HX96" i="9"/>
  <c r="HY96" i="9"/>
  <c r="HZ96" i="9"/>
  <c r="IA96" i="9"/>
  <c r="IB96" i="9"/>
  <c r="IC96" i="9"/>
  <c r="ID96" i="9"/>
  <c r="IE96" i="9"/>
  <c r="IF96" i="9"/>
  <c r="IG96" i="9"/>
  <c r="IH96" i="9"/>
  <c r="II96" i="9"/>
  <c r="IJ96" i="9"/>
  <c r="IK96" i="9"/>
  <c r="IL96" i="9"/>
  <c r="IM96" i="9"/>
  <c r="IN96" i="9"/>
  <c r="IO96" i="9"/>
  <c r="IP96" i="9"/>
  <c r="IQ96" i="9"/>
  <c r="IR96" i="9"/>
  <c r="IS96" i="9"/>
  <c r="IT96" i="9"/>
  <c r="IU96" i="9"/>
  <c r="IV96" i="9"/>
  <c r="A95" i="9"/>
  <c r="B95" i="9"/>
  <c r="A94" i="9"/>
  <c r="B94" i="9"/>
  <c r="C94" i="9"/>
  <c r="D94" i="9"/>
  <c r="E94" i="9"/>
  <c r="F94" i="9"/>
  <c r="G94" i="9"/>
  <c r="H94" i="9"/>
  <c r="I94" i="9"/>
  <c r="J94" i="9"/>
  <c r="K94" i="9"/>
  <c r="L94" i="9"/>
  <c r="M94" i="9"/>
  <c r="N94" i="9"/>
  <c r="O94" i="9"/>
  <c r="P94" i="9"/>
  <c r="Q94" i="9"/>
  <c r="R94" i="9"/>
  <c r="S94" i="9"/>
  <c r="T94" i="9"/>
  <c r="U94" i="9"/>
  <c r="V94" i="9"/>
  <c r="W94" i="9"/>
  <c r="X94" i="9"/>
  <c r="Y94" i="9"/>
  <c r="Z94" i="9"/>
  <c r="AA94" i="9"/>
  <c r="AB94" i="9"/>
  <c r="AC94" i="9"/>
  <c r="AD94" i="9"/>
  <c r="AE94" i="9"/>
  <c r="AF94" i="9"/>
  <c r="AG94" i="9"/>
  <c r="AH94" i="9"/>
  <c r="AI94" i="9"/>
  <c r="AJ94" i="9"/>
  <c r="AK94" i="9"/>
  <c r="AL94" i="9"/>
  <c r="AM94" i="9"/>
  <c r="AN94" i="9"/>
  <c r="AO94" i="9"/>
  <c r="AP94" i="9"/>
  <c r="AQ94" i="9"/>
  <c r="AR94" i="9"/>
  <c r="AS94" i="9"/>
  <c r="AT94" i="9"/>
  <c r="AU94" i="9"/>
  <c r="AV94" i="9"/>
  <c r="AW94" i="9"/>
  <c r="AX94" i="9"/>
  <c r="AY94" i="9"/>
  <c r="AZ94" i="9"/>
  <c r="BA94" i="9"/>
  <c r="BB94" i="9"/>
  <c r="BC94" i="9"/>
  <c r="BD94" i="9"/>
  <c r="BE94" i="9"/>
  <c r="BF94" i="9"/>
  <c r="BG94" i="9"/>
  <c r="BH94" i="9"/>
  <c r="BI94" i="9"/>
  <c r="BJ94" i="9"/>
  <c r="BK94" i="9"/>
  <c r="BL94" i="9"/>
  <c r="BM94" i="9"/>
  <c r="BN94" i="9"/>
  <c r="BO94" i="9"/>
  <c r="BP94" i="9"/>
  <c r="BQ94" i="9"/>
  <c r="BR94" i="9"/>
  <c r="BS94" i="9"/>
  <c r="BT94" i="9"/>
  <c r="BU94" i="9"/>
  <c r="BV94" i="9"/>
  <c r="BW94" i="9"/>
  <c r="BX94" i="9"/>
  <c r="BY94" i="9"/>
  <c r="BZ94" i="9"/>
  <c r="CA94" i="9"/>
  <c r="CB94" i="9"/>
  <c r="CC94" i="9"/>
  <c r="CD94" i="9"/>
  <c r="CE94" i="9"/>
  <c r="CF94" i="9"/>
  <c r="CG94" i="9"/>
  <c r="CH94" i="9"/>
  <c r="CI94" i="9"/>
  <c r="CJ94" i="9"/>
  <c r="CK94" i="9"/>
  <c r="CL94" i="9"/>
  <c r="CM94" i="9"/>
  <c r="CN94" i="9"/>
  <c r="CO94" i="9"/>
  <c r="CP94" i="9"/>
  <c r="CQ94" i="9"/>
  <c r="CR94" i="9"/>
  <c r="CS94" i="9"/>
  <c r="CT94" i="9"/>
  <c r="CU94" i="9"/>
  <c r="CV94" i="9"/>
  <c r="CW94" i="9"/>
  <c r="CX94" i="9"/>
  <c r="CY94" i="9"/>
  <c r="CZ94" i="9"/>
  <c r="DA94" i="9"/>
  <c r="DB94" i="9"/>
  <c r="DC94" i="9"/>
  <c r="DD94" i="9"/>
  <c r="DE94" i="9"/>
  <c r="DF94" i="9"/>
  <c r="DG94" i="9"/>
  <c r="DH94" i="9"/>
  <c r="DI94" i="9"/>
  <c r="DJ94" i="9"/>
  <c r="DK94" i="9"/>
  <c r="DL94" i="9"/>
  <c r="DM94" i="9"/>
  <c r="DN94" i="9"/>
  <c r="DO94" i="9"/>
  <c r="DP94" i="9"/>
  <c r="DQ94" i="9"/>
  <c r="DR94" i="9"/>
  <c r="DS94" i="9"/>
  <c r="DT94" i="9"/>
  <c r="DU94" i="9"/>
  <c r="DV94" i="9"/>
  <c r="DW94" i="9"/>
  <c r="DX94" i="9"/>
  <c r="DY94" i="9"/>
  <c r="DZ94" i="9"/>
  <c r="EA94" i="9"/>
  <c r="EB94" i="9"/>
  <c r="EC94" i="9"/>
  <c r="ED94" i="9"/>
  <c r="EE94" i="9"/>
  <c r="EF94" i="9"/>
  <c r="EG94" i="9"/>
  <c r="EH94" i="9"/>
  <c r="EI94" i="9"/>
  <c r="EJ94" i="9"/>
  <c r="EK94" i="9"/>
  <c r="EL94" i="9"/>
  <c r="EM94" i="9"/>
  <c r="EN94" i="9"/>
  <c r="EO94" i="9"/>
  <c r="EP94" i="9"/>
  <c r="EQ94" i="9"/>
  <c r="ER94" i="9"/>
  <c r="ES94" i="9"/>
  <c r="ET94" i="9"/>
  <c r="EU94" i="9"/>
  <c r="EV94" i="9"/>
  <c r="EW94" i="9"/>
  <c r="EX94" i="9"/>
  <c r="EY94" i="9"/>
  <c r="EZ94" i="9"/>
  <c r="FA94" i="9"/>
  <c r="FB94" i="9"/>
  <c r="FC94" i="9"/>
  <c r="FD94" i="9"/>
  <c r="FE94" i="9"/>
  <c r="FF94" i="9"/>
  <c r="FG94" i="9"/>
  <c r="FH94" i="9"/>
  <c r="FI94" i="9"/>
  <c r="FJ94" i="9"/>
  <c r="FK94" i="9"/>
  <c r="FL94" i="9"/>
  <c r="FM94" i="9"/>
  <c r="FN94" i="9"/>
  <c r="FO94" i="9"/>
  <c r="FP94" i="9"/>
  <c r="FQ94" i="9"/>
  <c r="FR94" i="9"/>
  <c r="FS94" i="9"/>
  <c r="FT94" i="9"/>
  <c r="FU94" i="9"/>
  <c r="FV94" i="9"/>
  <c r="FW94" i="9"/>
  <c r="FX94" i="9"/>
  <c r="FY94" i="9"/>
  <c r="FZ94" i="9"/>
  <c r="GA94" i="9"/>
  <c r="GB94" i="9"/>
  <c r="GC94" i="9"/>
  <c r="GD94" i="9"/>
  <c r="GE94" i="9"/>
  <c r="GF94" i="9"/>
  <c r="GG94" i="9"/>
  <c r="GH94" i="9"/>
  <c r="GI94" i="9"/>
  <c r="GJ94" i="9"/>
  <c r="GK94" i="9"/>
  <c r="GL94" i="9"/>
  <c r="GM94" i="9"/>
  <c r="GN94" i="9"/>
  <c r="GO94" i="9"/>
  <c r="GP94" i="9"/>
  <c r="GQ94" i="9"/>
  <c r="GR94" i="9"/>
  <c r="GS94" i="9"/>
  <c r="GT94" i="9"/>
  <c r="GU94" i="9"/>
  <c r="GV94" i="9"/>
  <c r="GW94" i="9"/>
  <c r="GX94" i="9"/>
  <c r="GY94" i="9"/>
  <c r="GZ94" i="9"/>
  <c r="HA94" i="9"/>
  <c r="HB94" i="9"/>
  <c r="HC94" i="9"/>
  <c r="HD94" i="9"/>
  <c r="HE94" i="9"/>
  <c r="HF94" i="9"/>
  <c r="HG94" i="9"/>
  <c r="HH94" i="9"/>
  <c r="HI94" i="9"/>
  <c r="HJ94" i="9"/>
  <c r="HK94" i="9"/>
  <c r="HL94" i="9"/>
  <c r="HM94" i="9"/>
  <c r="HN94" i="9"/>
  <c r="HO94" i="9"/>
  <c r="HP94" i="9"/>
  <c r="HQ94" i="9"/>
  <c r="HR94" i="9"/>
  <c r="HS94" i="9"/>
  <c r="HT94" i="9"/>
  <c r="HU94" i="9"/>
  <c r="HV94" i="9"/>
  <c r="HW94" i="9"/>
  <c r="HX94" i="9"/>
  <c r="HY94" i="9"/>
  <c r="HZ94" i="9"/>
  <c r="IA94" i="9"/>
  <c r="IB94" i="9"/>
  <c r="IC94" i="9"/>
  <c r="ID94" i="9"/>
  <c r="IE94" i="9"/>
  <c r="IF94" i="9"/>
  <c r="IG94" i="9"/>
  <c r="IH94" i="9"/>
  <c r="II94" i="9"/>
  <c r="IJ94" i="9"/>
  <c r="IK94" i="9"/>
  <c r="IL94" i="9"/>
  <c r="IM94" i="9"/>
  <c r="IN94" i="9"/>
  <c r="IO94" i="9"/>
  <c r="IP94" i="9"/>
  <c r="IQ94" i="9"/>
  <c r="IR94" i="9"/>
  <c r="IS94" i="9"/>
  <c r="IT94" i="9"/>
  <c r="IU94" i="9"/>
  <c r="IV94" i="9"/>
  <c r="A93" i="9"/>
  <c r="B93" i="9"/>
  <c r="C93" i="9"/>
  <c r="D93" i="9"/>
  <c r="E93" i="9"/>
  <c r="F93" i="9"/>
  <c r="G93" i="9"/>
  <c r="H93" i="9"/>
  <c r="I93" i="9"/>
  <c r="J93" i="9"/>
  <c r="K93" i="9"/>
  <c r="L93" i="9"/>
  <c r="M93" i="9"/>
  <c r="N93" i="9"/>
  <c r="O93" i="9"/>
  <c r="P93" i="9"/>
  <c r="Q93" i="9"/>
  <c r="R93" i="9"/>
  <c r="S93" i="9"/>
  <c r="T93" i="9"/>
  <c r="U93" i="9"/>
  <c r="V93" i="9"/>
  <c r="W93" i="9"/>
  <c r="X93" i="9"/>
  <c r="Y93" i="9"/>
  <c r="Z93" i="9"/>
  <c r="AA93" i="9"/>
  <c r="AB93" i="9"/>
  <c r="AC93" i="9"/>
  <c r="AD93" i="9"/>
  <c r="AE93" i="9"/>
  <c r="AF93" i="9"/>
  <c r="AG93" i="9"/>
  <c r="AH93" i="9"/>
  <c r="AI93" i="9"/>
  <c r="AJ93" i="9"/>
  <c r="AK93" i="9"/>
  <c r="AL93" i="9"/>
  <c r="AM93" i="9"/>
  <c r="AN93" i="9"/>
  <c r="AO93" i="9"/>
  <c r="AP93" i="9"/>
  <c r="AQ93" i="9"/>
  <c r="AR93" i="9"/>
  <c r="AS93" i="9"/>
  <c r="AT93" i="9"/>
  <c r="AU93" i="9"/>
  <c r="AV93" i="9"/>
  <c r="AW93" i="9"/>
  <c r="AX93" i="9"/>
  <c r="AY93" i="9"/>
  <c r="AZ93" i="9"/>
  <c r="BA93" i="9"/>
  <c r="BB93" i="9"/>
  <c r="BC93" i="9"/>
  <c r="BD93" i="9"/>
  <c r="BE93" i="9"/>
  <c r="BF93" i="9"/>
  <c r="BG93" i="9"/>
  <c r="BH93" i="9"/>
  <c r="BI93" i="9"/>
  <c r="BJ93" i="9"/>
  <c r="BK93" i="9"/>
  <c r="BL93" i="9"/>
  <c r="BM93" i="9"/>
  <c r="BN93" i="9"/>
  <c r="BO93" i="9"/>
  <c r="BP93" i="9"/>
  <c r="BQ93" i="9"/>
  <c r="BR93" i="9"/>
  <c r="BS93" i="9"/>
  <c r="BT93" i="9"/>
  <c r="BU93" i="9"/>
  <c r="BV93" i="9"/>
  <c r="BW93" i="9"/>
  <c r="BX93" i="9"/>
  <c r="BY93" i="9"/>
  <c r="BZ93" i="9"/>
  <c r="CA93" i="9"/>
  <c r="CB93" i="9"/>
  <c r="CC93" i="9"/>
  <c r="CD93" i="9"/>
  <c r="CE93" i="9"/>
  <c r="CF93" i="9"/>
  <c r="CG93" i="9"/>
  <c r="CH93" i="9"/>
  <c r="CI93" i="9"/>
  <c r="CJ93" i="9"/>
  <c r="CK93" i="9"/>
  <c r="CL93" i="9"/>
  <c r="CM93" i="9"/>
  <c r="CN93" i="9"/>
  <c r="CO93" i="9"/>
  <c r="CP93" i="9"/>
  <c r="CQ93" i="9"/>
  <c r="CR93" i="9"/>
  <c r="CS93" i="9"/>
  <c r="CT93" i="9"/>
  <c r="CU93" i="9"/>
  <c r="CV93" i="9"/>
  <c r="CW93" i="9"/>
  <c r="CX93" i="9"/>
  <c r="CY93" i="9"/>
  <c r="CZ93" i="9"/>
  <c r="DA93" i="9"/>
  <c r="DB93" i="9"/>
  <c r="DC93" i="9"/>
  <c r="DD93" i="9"/>
  <c r="DE93" i="9"/>
  <c r="DF93" i="9"/>
  <c r="DG93" i="9"/>
  <c r="DH93" i="9"/>
  <c r="DI93" i="9"/>
  <c r="DJ93" i="9"/>
  <c r="DK93" i="9"/>
  <c r="DL93" i="9"/>
  <c r="DM93" i="9"/>
  <c r="DN93" i="9"/>
  <c r="DO93" i="9"/>
  <c r="DP93" i="9"/>
  <c r="DQ93" i="9"/>
  <c r="DR93" i="9"/>
  <c r="DS93" i="9"/>
  <c r="DT93" i="9"/>
  <c r="DU93" i="9"/>
  <c r="DV93" i="9"/>
  <c r="DW93" i="9"/>
  <c r="DX93" i="9"/>
  <c r="DY93" i="9"/>
  <c r="DZ93" i="9"/>
  <c r="EA93" i="9"/>
  <c r="EB93" i="9"/>
  <c r="EC93" i="9"/>
  <c r="ED93" i="9"/>
  <c r="EE93" i="9"/>
  <c r="EF93" i="9"/>
  <c r="EG93" i="9"/>
  <c r="EH93" i="9"/>
  <c r="EI93" i="9"/>
  <c r="EJ93" i="9"/>
  <c r="EK93" i="9"/>
  <c r="EL93" i="9"/>
  <c r="EM93" i="9"/>
  <c r="EN93" i="9"/>
  <c r="EO93" i="9"/>
  <c r="EP93" i="9"/>
  <c r="EQ93" i="9"/>
  <c r="ER93" i="9"/>
  <c r="ES93" i="9"/>
  <c r="ET93" i="9"/>
  <c r="EU93" i="9"/>
  <c r="EV93" i="9"/>
  <c r="EW93" i="9"/>
  <c r="EX93" i="9"/>
  <c r="EY93" i="9"/>
  <c r="EZ93" i="9"/>
  <c r="FA93" i="9"/>
  <c r="FB93" i="9"/>
  <c r="FC93" i="9"/>
  <c r="FD93" i="9"/>
  <c r="FE93" i="9"/>
  <c r="FF93" i="9"/>
  <c r="FG93" i="9"/>
  <c r="FH93" i="9"/>
  <c r="FI93" i="9"/>
  <c r="FJ93" i="9"/>
  <c r="FK93" i="9"/>
  <c r="FL93" i="9"/>
  <c r="FM93" i="9"/>
  <c r="FN93" i="9"/>
  <c r="FO93" i="9"/>
  <c r="FP93" i="9"/>
  <c r="FQ93" i="9"/>
  <c r="FR93" i="9"/>
  <c r="FS93" i="9"/>
  <c r="FT93" i="9"/>
  <c r="FU93" i="9"/>
  <c r="FV93" i="9"/>
  <c r="FW93" i="9"/>
  <c r="FX93" i="9"/>
  <c r="FY93" i="9"/>
  <c r="FZ93" i="9"/>
  <c r="GA93" i="9"/>
  <c r="GB93" i="9"/>
  <c r="GC93" i="9"/>
  <c r="GD93" i="9"/>
  <c r="GE93" i="9"/>
  <c r="GF93" i="9"/>
  <c r="GG93" i="9"/>
  <c r="GH93" i="9"/>
  <c r="GI93" i="9"/>
  <c r="GJ93" i="9"/>
  <c r="GK93" i="9"/>
  <c r="GL93" i="9"/>
  <c r="GM93" i="9"/>
  <c r="GN93" i="9"/>
  <c r="GO93" i="9"/>
  <c r="GP93" i="9"/>
  <c r="GQ93" i="9"/>
  <c r="GR93" i="9"/>
  <c r="GS93" i="9"/>
  <c r="GT93" i="9"/>
  <c r="GU93" i="9"/>
  <c r="GV93" i="9"/>
  <c r="GW93" i="9"/>
  <c r="GX93" i="9"/>
  <c r="GY93" i="9"/>
  <c r="GZ93" i="9"/>
  <c r="HA93" i="9"/>
  <c r="HB93" i="9"/>
  <c r="HC93" i="9"/>
  <c r="HD93" i="9"/>
  <c r="HE93" i="9"/>
  <c r="HF93" i="9"/>
  <c r="HG93" i="9"/>
  <c r="HH93" i="9"/>
  <c r="HI93" i="9"/>
  <c r="HJ93" i="9"/>
  <c r="HK93" i="9"/>
  <c r="HL93" i="9"/>
  <c r="HM93" i="9"/>
  <c r="HN93" i="9"/>
  <c r="HO93" i="9"/>
  <c r="HP93" i="9"/>
  <c r="HQ93" i="9"/>
  <c r="HR93" i="9"/>
  <c r="HS93" i="9"/>
  <c r="HT93" i="9"/>
  <c r="HU93" i="9"/>
  <c r="HV93" i="9"/>
  <c r="HW93" i="9"/>
  <c r="HX93" i="9"/>
  <c r="HY93" i="9"/>
  <c r="HZ93" i="9"/>
  <c r="IA93" i="9"/>
  <c r="IB93" i="9"/>
  <c r="IC93" i="9"/>
  <c r="ID93" i="9"/>
  <c r="IE93" i="9"/>
  <c r="IF93" i="9"/>
  <c r="IG93" i="9"/>
  <c r="IH93" i="9"/>
  <c r="II93" i="9"/>
  <c r="IJ93" i="9"/>
  <c r="IK93" i="9"/>
  <c r="IL93" i="9"/>
  <c r="IM93" i="9"/>
  <c r="IN93" i="9"/>
  <c r="IO93" i="9"/>
  <c r="IP93" i="9"/>
  <c r="IQ93" i="9"/>
  <c r="IR93" i="9"/>
  <c r="IS93" i="9"/>
  <c r="IT93" i="9"/>
  <c r="IU93" i="9"/>
  <c r="IV93" i="9"/>
  <c r="A92" i="9"/>
  <c r="A91" i="9"/>
  <c r="B91" i="9"/>
  <c r="C91" i="9"/>
  <c r="D91" i="9"/>
  <c r="E91" i="9"/>
  <c r="F91" i="9"/>
  <c r="G91" i="9"/>
  <c r="H91" i="9"/>
  <c r="I91" i="9"/>
  <c r="J91" i="9"/>
  <c r="K91" i="9"/>
  <c r="L91" i="9"/>
  <c r="M91" i="9"/>
  <c r="N91" i="9"/>
  <c r="O91" i="9"/>
  <c r="P91" i="9"/>
  <c r="Q91" i="9"/>
  <c r="R91" i="9"/>
  <c r="S91" i="9"/>
  <c r="T91" i="9"/>
  <c r="U91" i="9"/>
  <c r="V91" i="9"/>
  <c r="W91" i="9"/>
  <c r="X91" i="9"/>
  <c r="Y91" i="9"/>
  <c r="Z91" i="9"/>
  <c r="AA91" i="9"/>
  <c r="A90" i="9"/>
  <c r="B90" i="9"/>
  <c r="C90" i="9"/>
  <c r="D90" i="9"/>
  <c r="E90" i="9"/>
  <c r="F90" i="9"/>
  <c r="G90" i="9"/>
  <c r="H90" i="9"/>
  <c r="I90" i="9"/>
  <c r="J90" i="9"/>
  <c r="K90" i="9"/>
  <c r="L90" i="9"/>
  <c r="M90" i="9"/>
  <c r="N90" i="9"/>
  <c r="O90" i="9"/>
  <c r="P90" i="9"/>
  <c r="Q90" i="9"/>
  <c r="R90" i="9"/>
  <c r="S90" i="9"/>
  <c r="T90" i="9"/>
  <c r="U90" i="9"/>
  <c r="V90" i="9"/>
  <c r="W90" i="9"/>
  <c r="X90" i="9"/>
  <c r="Y90" i="9"/>
  <c r="Z90" i="9"/>
  <c r="AA90" i="9"/>
  <c r="AB90" i="9"/>
  <c r="AC90" i="9"/>
  <c r="AD90" i="9"/>
  <c r="AE90" i="9"/>
  <c r="AF90" i="9"/>
  <c r="AG90" i="9"/>
  <c r="AH90" i="9"/>
  <c r="AI90" i="9"/>
  <c r="AJ90" i="9"/>
  <c r="AK90" i="9"/>
  <c r="AL90" i="9"/>
  <c r="AM90" i="9"/>
  <c r="AN90" i="9"/>
  <c r="AO90" i="9"/>
  <c r="AP90" i="9"/>
  <c r="AQ90" i="9"/>
  <c r="AR90" i="9"/>
  <c r="AS90" i="9"/>
  <c r="AT90" i="9"/>
  <c r="AU90" i="9"/>
  <c r="AV90" i="9"/>
  <c r="AW90" i="9"/>
  <c r="AX90" i="9"/>
  <c r="AY90" i="9"/>
  <c r="AZ90" i="9"/>
  <c r="BA90" i="9"/>
  <c r="BB90" i="9"/>
  <c r="BC90" i="9"/>
  <c r="BD90" i="9"/>
  <c r="BE90" i="9"/>
  <c r="BF90" i="9"/>
  <c r="BG90" i="9"/>
  <c r="BH90" i="9"/>
  <c r="BI90" i="9"/>
  <c r="BJ90" i="9"/>
  <c r="BK90" i="9"/>
  <c r="BL90" i="9"/>
  <c r="BM90" i="9"/>
  <c r="BN90" i="9"/>
  <c r="BO90" i="9"/>
  <c r="BP90" i="9"/>
  <c r="BQ90" i="9"/>
  <c r="BR90" i="9"/>
  <c r="BS90" i="9"/>
  <c r="BT90" i="9"/>
  <c r="BU90" i="9"/>
  <c r="BV90" i="9"/>
  <c r="BW90" i="9"/>
  <c r="BX90" i="9"/>
  <c r="BY90" i="9"/>
  <c r="BZ90" i="9"/>
  <c r="CA90" i="9"/>
  <c r="CB90" i="9"/>
  <c r="CC90" i="9"/>
  <c r="CD90" i="9"/>
  <c r="CE90" i="9"/>
  <c r="CF90" i="9"/>
  <c r="CG90" i="9"/>
  <c r="CH90" i="9"/>
  <c r="CI90" i="9"/>
  <c r="CJ90" i="9"/>
  <c r="CK90" i="9"/>
  <c r="CL90" i="9"/>
  <c r="CM90" i="9"/>
  <c r="CN90" i="9"/>
  <c r="CO90" i="9"/>
  <c r="CP90" i="9"/>
  <c r="CQ90" i="9"/>
  <c r="CR90" i="9"/>
  <c r="CS90" i="9"/>
  <c r="CT90" i="9"/>
  <c r="CU90" i="9"/>
  <c r="CV90" i="9"/>
  <c r="CW90" i="9"/>
  <c r="CX90" i="9"/>
  <c r="CY90" i="9"/>
  <c r="CZ90" i="9"/>
  <c r="DA90" i="9"/>
  <c r="DB90" i="9"/>
  <c r="DC90" i="9"/>
  <c r="DD90" i="9"/>
  <c r="DE90" i="9"/>
  <c r="DF90" i="9"/>
  <c r="DG90" i="9"/>
  <c r="DH90" i="9"/>
  <c r="DI90" i="9"/>
  <c r="DJ90" i="9"/>
  <c r="DK90" i="9"/>
  <c r="DL90" i="9"/>
  <c r="DM90" i="9"/>
  <c r="DN90" i="9"/>
  <c r="DO90" i="9"/>
  <c r="DP90" i="9"/>
  <c r="DQ90" i="9"/>
  <c r="DR90" i="9"/>
  <c r="DS90" i="9"/>
  <c r="DT90" i="9"/>
  <c r="DU90" i="9"/>
  <c r="DV90" i="9"/>
  <c r="DW90" i="9"/>
  <c r="DX90" i="9"/>
  <c r="DY90" i="9"/>
  <c r="DZ90" i="9"/>
  <c r="EA90" i="9"/>
  <c r="EB90" i="9"/>
  <c r="EC90" i="9"/>
  <c r="ED90" i="9"/>
  <c r="EE90" i="9"/>
  <c r="EF90" i="9"/>
  <c r="EG90" i="9"/>
  <c r="EH90" i="9"/>
  <c r="EI90" i="9"/>
  <c r="EJ90" i="9"/>
  <c r="EK90" i="9"/>
  <c r="EL90" i="9"/>
  <c r="EM90" i="9"/>
  <c r="EN90" i="9"/>
  <c r="EO90" i="9"/>
  <c r="EP90" i="9"/>
  <c r="EQ90" i="9"/>
  <c r="ER90" i="9"/>
  <c r="ES90" i="9"/>
  <c r="ET90" i="9"/>
  <c r="EU90" i="9"/>
  <c r="EV90" i="9"/>
  <c r="EW90" i="9"/>
  <c r="EX90" i="9"/>
  <c r="EY90" i="9"/>
  <c r="EZ90" i="9"/>
  <c r="FA90" i="9"/>
  <c r="FB90" i="9"/>
  <c r="FC90" i="9"/>
  <c r="FD90" i="9"/>
  <c r="FE90" i="9"/>
  <c r="FF90" i="9"/>
  <c r="FG90" i="9"/>
  <c r="FH90" i="9"/>
  <c r="FI90" i="9"/>
  <c r="FJ90" i="9"/>
  <c r="FK90" i="9"/>
  <c r="FL90" i="9"/>
  <c r="FM90" i="9"/>
  <c r="FN90" i="9"/>
  <c r="FO90" i="9"/>
  <c r="FP90" i="9"/>
  <c r="FQ90" i="9"/>
  <c r="FR90" i="9"/>
  <c r="FS90" i="9"/>
  <c r="FT90" i="9"/>
  <c r="FU90" i="9"/>
  <c r="FV90" i="9"/>
  <c r="FW90" i="9"/>
  <c r="FX90" i="9"/>
  <c r="FY90" i="9"/>
  <c r="FZ90" i="9"/>
  <c r="GA90" i="9"/>
  <c r="GB90" i="9"/>
  <c r="GC90" i="9"/>
  <c r="GD90" i="9"/>
  <c r="GE90" i="9"/>
  <c r="GF90" i="9"/>
  <c r="GG90" i="9"/>
  <c r="GH90" i="9"/>
  <c r="GI90" i="9"/>
  <c r="GJ90" i="9"/>
  <c r="GK90" i="9"/>
  <c r="GL90" i="9"/>
  <c r="GM90" i="9"/>
  <c r="GN90" i="9"/>
  <c r="GO90" i="9"/>
  <c r="GP90" i="9"/>
  <c r="GQ90" i="9"/>
  <c r="GR90" i="9"/>
  <c r="GS90" i="9"/>
  <c r="GT90" i="9"/>
  <c r="GU90" i="9"/>
  <c r="GV90" i="9"/>
  <c r="GW90" i="9"/>
  <c r="GX90" i="9"/>
  <c r="GY90" i="9"/>
  <c r="GZ90" i="9"/>
  <c r="HA90" i="9"/>
  <c r="HB90" i="9"/>
  <c r="HC90" i="9"/>
  <c r="HD90" i="9"/>
  <c r="HE90" i="9"/>
  <c r="HF90" i="9"/>
  <c r="HG90" i="9"/>
  <c r="HH90" i="9"/>
  <c r="HI90" i="9"/>
  <c r="HJ90" i="9"/>
  <c r="HK90" i="9"/>
  <c r="HL90" i="9"/>
  <c r="HM90" i="9"/>
  <c r="HN90" i="9"/>
  <c r="HO90" i="9"/>
  <c r="HP90" i="9"/>
  <c r="HQ90" i="9"/>
  <c r="HR90" i="9"/>
  <c r="HS90" i="9"/>
  <c r="HT90" i="9"/>
  <c r="HU90" i="9"/>
  <c r="HV90" i="9"/>
  <c r="HW90" i="9"/>
  <c r="HX90" i="9"/>
  <c r="HY90" i="9"/>
  <c r="HZ90" i="9"/>
  <c r="IA90" i="9"/>
  <c r="IB90" i="9"/>
  <c r="IC90" i="9"/>
  <c r="ID90" i="9"/>
  <c r="IE90" i="9"/>
  <c r="IF90" i="9"/>
  <c r="IG90" i="9"/>
  <c r="IH90" i="9"/>
  <c r="II90" i="9"/>
  <c r="IJ90" i="9"/>
  <c r="IK90" i="9"/>
  <c r="IL90" i="9"/>
  <c r="IM90" i="9"/>
  <c r="IN90" i="9"/>
  <c r="IO90" i="9"/>
  <c r="IP90" i="9"/>
  <c r="IQ90" i="9"/>
  <c r="IR90" i="9"/>
  <c r="IS90" i="9"/>
  <c r="IT90" i="9"/>
  <c r="IU90" i="9"/>
  <c r="IV90" i="9"/>
  <c r="A89" i="9"/>
  <c r="B89" i="9"/>
  <c r="C89" i="9"/>
  <c r="D89" i="9"/>
  <c r="E89" i="9"/>
  <c r="F89" i="9"/>
  <c r="G89" i="9"/>
  <c r="H89" i="9"/>
  <c r="I89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88" i="9"/>
  <c r="B88" i="9"/>
  <c r="C88" i="9"/>
  <c r="D88" i="9"/>
  <c r="E88" i="9"/>
  <c r="F88" i="9"/>
  <c r="G88" i="9"/>
  <c r="H88" i="9"/>
  <c r="I88" i="9"/>
  <c r="J88" i="9"/>
  <c r="K88" i="9"/>
  <c r="L88" i="9"/>
  <c r="M88" i="9"/>
  <c r="N88" i="9"/>
  <c r="O88" i="9"/>
  <c r="P88" i="9"/>
  <c r="Q88" i="9"/>
  <c r="R88" i="9"/>
  <c r="S88" i="9"/>
  <c r="T88" i="9"/>
  <c r="U88" i="9"/>
  <c r="V88" i="9"/>
  <c r="W88" i="9"/>
  <c r="X88" i="9"/>
  <c r="Y88" i="9"/>
  <c r="Z88" i="9"/>
  <c r="AA88" i="9"/>
  <c r="AB88" i="9"/>
  <c r="AC88" i="9"/>
  <c r="AD88" i="9"/>
  <c r="AE88" i="9"/>
  <c r="AF88" i="9"/>
  <c r="AG88" i="9"/>
  <c r="AH88" i="9"/>
  <c r="AI88" i="9"/>
  <c r="AJ88" i="9"/>
  <c r="AK88" i="9"/>
  <c r="AL88" i="9"/>
  <c r="AM88" i="9"/>
  <c r="AN88" i="9"/>
  <c r="AO88" i="9"/>
  <c r="AP88" i="9"/>
  <c r="AQ88" i="9"/>
  <c r="AR88" i="9"/>
  <c r="AS88" i="9"/>
  <c r="AT88" i="9"/>
  <c r="AU88" i="9"/>
  <c r="AV88" i="9"/>
  <c r="AW88" i="9"/>
  <c r="AX88" i="9"/>
  <c r="AY88" i="9"/>
  <c r="AZ88" i="9"/>
  <c r="BA88" i="9"/>
  <c r="BB88" i="9"/>
  <c r="BC88" i="9"/>
  <c r="BD88" i="9"/>
  <c r="BE88" i="9"/>
  <c r="BF88" i="9"/>
  <c r="BG88" i="9"/>
  <c r="BH88" i="9"/>
  <c r="BI88" i="9"/>
  <c r="BJ88" i="9"/>
  <c r="BK88" i="9"/>
  <c r="BL88" i="9"/>
  <c r="BM88" i="9"/>
  <c r="BN88" i="9"/>
  <c r="BO88" i="9"/>
  <c r="BP88" i="9"/>
  <c r="BQ88" i="9"/>
  <c r="BR88" i="9"/>
  <c r="BS88" i="9"/>
  <c r="BT88" i="9"/>
  <c r="BU88" i="9"/>
  <c r="BV88" i="9"/>
  <c r="BW88" i="9"/>
  <c r="BX88" i="9"/>
  <c r="BY88" i="9"/>
  <c r="BZ88" i="9"/>
  <c r="CA88" i="9"/>
  <c r="CB88" i="9"/>
  <c r="CC88" i="9"/>
  <c r="CD88" i="9"/>
  <c r="CE88" i="9"/>
  <c r="CF88" i="9"/>
  <c r="CG88" i="9"/>
  <c r="CH88" i="9"/>
  <c r="CI88" i="9"/>
  <c r="CJ88" i="9"/>
  <c r="CK88" i="9"/>
  <c r="CL88" i="9"/>
  <c r="CM88" i="9"/>
  <c r="CN88" i="9"/>
  <c r="CO88" i="9"/>
  <c r="CP88" i="9"/>
  <c r="CQ88" i="9"/>
  <c r="CR88" i="9"/>
  <c r="CS88" i="9"/>
  <c r="CT88" i="9"/>
  <c r="CU88" i="9"/>
  <c r="CV88" i="9"/>
  <c r="CW88" i="9"/>
  <c r="CX88" i="9"/>
  <c r="CY88" i="9"/>
  <c r="CZ88" i="9"/>
  <c r="DA88" i="9"/>
  <c r="DB88" i="9"/>
  <c r="DC88" i="9"/>
  <c r="DD88" i="9"/>
  <c r="DE88" i="9"/>
  <c r="DF88" i="9"/>
  <c r="DG88" i="9"/>
  <c r="DH88" i="9"/>
  <c r="DI88" i="9"/>
  <c r="DJ88" i="9"/>
  <c r="DK88" i="9"/>
  <c r="DL88" i="9"/>
  <c r="DM88" i="9"/>
  <c r="DN88" i="9"/>
  <c r="DO88" i="9"/>
  <c r="DP88" i="9"/>
  <c r="DQ88" i="9"/>
  <c r="DR88" i="9"/>
  <c r="DS88" i="9"/>
  <c r="DT88" i="9"/>
  <c r="DU88" i="9"/>
  <c r="DV88" i="9"/>
  <c r="DW88" i="9"/>
  <c r="DX88" i="9"/>
  <c r="DY88" i="9"/>
  <c r="DZ88" i="9"/>
  <c r="EA88" i="9"/>
  <c r="EB88" i="9"/>
  <c r="EC88" i="9"/>
  <c r="ED88" i="9"/>
  <c r="EE88" i="9"/>
  <c r="EF88" i="9"/>
  <c r="EG88" i="9"/>
  <c r="EH88" i="9"/>
  <c r="EI88" i="9"/>
  <c r="EJ88" i="9"/>
  <c r="EK88" i="9"/>
  <c r="EL88" i="9"/>
  <c r="EM88" i="9"/>
  <c r="EN88" i="9"/>
  <c r="EO88" i="9"/>
  <c r="EP88" i="9"/>
  <c r="EQ88" i="9"/>
  <c r="ER88" i="9"/>
  <c r="ES88" i="9"/>
  <c r="ET88" i="9"/>
  <c r="EU88" i="9"/>
  <c r="EV88" i="9"/>
  <c r="EW88" i="9"/>
  <c r="EX88" i="9"/>
  <c r="EY88" i="9"/>
  <c r="EZ88" i="9"/>
  <c r="FA88" i="9"/>
  <c r="FB88" i="9"/>
  <c r="FC88" i="9"/>
  <c r="FD88" i="9"/>
  <c r="FE88" i="9"/>
  <c r="FF88" i="9"/>
  <c r="FG88" i="9"/>
  <c r="FH88" i="9"/>
  <c r="FI88" i="9"/>
  <c r="FJ88" i="9"/>
  <c r="FK88" i="9"/>
  <c r="FL88" i="9"/>
  <c r="FM88" i="9"/>
  <c r="FN88" i="9"/>
  <c r="FO88" i="9"/>
  <c r="FP88" i="9"/>
  <c r="FQ88" i="9"/>
  <c r="FR88" i="9"/>
  <c r="FS88" i="9"/>
  <c r="FT88" i="9"/>
  <c r="FU88" i="9"/>
  <c r="FV88" i="9"/>
  <c r="FW88" i="9"/>
  <c r="FX88" i="9"/>
  <c r="FY88" i="9"/>
  <c r="FZ88" i="9"/>
  <c r="GA88" i="9"/>
  <c r="GB88" i="9"/>
  <c r="GC88" i="9"/>
  <c r="GD88" i="9"/>
  <c r="GE88" i="9"/>
  <c r="GF88" i="9"/>
  <c r="GG88" i="9"/>
  <c r="GH88" i="9"/>
  <c r="GI88" i="9"/>
  <c r="GJ88" i="9"/>
  <c r="GK88" i="9"/>
  <c r="GL88" i="9"/>
  <c r="GM88" i="9"/>
  <c r="GN88" i="9"/>
  <c r="GO88" i="9"/>
  <c r="GP88" i="9"/>
  <c r="GQ88" i="9"/>
  <c r="GR88" i="9"/>
  <c r="GS88" i="9"/>
  <c r="GT88" i="9"/>
  <c r="GU88" i="9"/>
  <c r="GV88" i="9"/>
  <c r="GW88" i="9"/>
  <c r="GX88" i="9"/>
  <c r="GY88" i="9"/>
  <c r="GZ88" i="9"/>
  <c r="HA88" i="9"/>
  <c r="HB88" i="9"/>
  <c r="HC88" i="9"/>
  <c r="HD88" i="9"/>
  <c r="HE88" i="9"/>
  <c r="HF88" i="9"/>
  <c r="HG88" i="9"/>
  <c r="HH88" i="9"/>
  <c r="HI88" i="9"/>
  <c r="HJ88" i="9"/>
  <c r="HK88" i="9"/>
  <c r="HL88" i="9"/>
  <c r="HM88" i="9"/>
  <c r="HN88" i="9"/>
  <c r="HO88" i="9"/>
  <c r="HP88" i="9"/>
  <c r="HQ88" i="9"/>
  <c r="HR88" i="9"/>
  <c r="HS88" i="9"/>
  <c r="HT88" i="9"/>
  <c r="HU88" i="9"/>
  <c r="HV88" i="9"/>
  <c r="HW88" i="9"/>
  <c r="HX88" i="9"/>
  <c r="HY88" i="9"/>
  <c r="HZ88" i="9"/>
  <c r="IA88" i="9"/>
  <c r="IB88" i="9"/>
  <c r="IC88" i="9"/>
  <c r="ID88" i="9"/>
  <c r="IE88" i="9"/>
  <c r="IF88" i="9"/>
  <c r="IG88" i="9"/>
  <c r="IH88" i="9"/>
  <c r="II88" i="9"/>
  <c r="IJ88" i="9"/>
  <c r="IK88" i="9"/>
  <c r="IL88" i="9"/>
  <c r="IM88" i="9"/>
  <c r="IN88" i="9"/>
  <c r="IO88" i="9"/>
  <c r="IP88" i="9"/>
  <c r="IQ88" i="9"/>
  <c r="IR88" i="9"/>
  <c r="IS88" i="9"/>
  <c r="IT88" i="9"/>
  <c r="IU88" i="9"/>
  <c r="IV88" i="9"/>
  <c r="A87" i="9"/>
  <c r="B87" i="9"/>
  <c r="C87" i="9"/>
  <c r="D87" i="9"/>
  <c r="E87" i="9"/>
  <c r="F87" i="9"/>
  <c r="G87" i="9"/>
  <c r="H87" i="9"/>
  <c r="I87" i="9"/>
  <c r="J87" i="9"/>
  <c r="K87" i="9"/>
  <c r="L87" i="9"/>
  <c r="M87" i="9"/>
  <c r="N87" i="9"/>
  <c r="O87" i="9"/>
  <c r="P87" i="9"/>
  <c r="Q87" i="9"/>
  <c r="R87" i="9"/>
  <c r="S87" i="9"/>
  <c r="T87" i="9"/>
  <c r="U87" i="9"/>
  <c r="V87" i="9"/>
  <c r="W87" i="9"/>
  <c r="X87" i="9"/>
  <c r="Y87" i="9"/>
  <c r="Z87" i="9"/>
  <c r="AA87" i="9"/>
  <c r="AB87" i="9"/>
  <c r="AC87" i="9"/>
  <c r="AD87" i="9"/>
  <c r="AE87" i="9"/>
  <c r="AF87" i="9"/>
  <c r="AG87" i="9"/>
  <c r="AH87" i="9"/>
  <c r="AI87" i="9"/>
  <c r="AJ87" i="9"/>
  <c r="AK87" i="9"/>
  <c r="AL87" i="9"/>
  <c r="AM87" i="9"/>
  <c r="AN87" i="9"/>
  <c r="AO87" i="9"/>
  <c r="AP87" i="9"/>
  <c r="AQ87" i="9"/>
  <c r="AR87" i="9"/>
  <c r="AS87" i="9"/>
  <c r="AT87" i="9"/>
  <c r="AU87" i="9"/>
  <c r="AV87" i="9"/>
  <c r="AW87" i="9"/>
  <c r="AX87" i="9"/>
  <c r="AY87" i="9"/>
  <c r="AZ87" i="9"/>
  <c r="BA87" i="9"/>
  <c r="BB87" i="9"/>
  <c r="BC87" i="9"/>
  <c r="BD87" i="9"/>
  <c r="BE87" i="9"/>
  <c r="BF87" i="9"/>
  <c r="BG87" i="9"/>
  <c r="BH87" i="9"/>
  <c r="BI87" i="9"/>
  <c r="BJ87" i="9"/>
  <c r="BK87" i="9"/>
  <c r="BL87" i="9"/>
  <c r="BM87" i="9"/>
  <c r="BN87" i="9"/>
  <c r="BO87" i="9"/>
  <c r="BP87" i="9"/>
  <c r="BQ87" i="9"/>
  <c r="BR87" i="9"/>
  <c r="BS87" i="9"/>
  <c r="A86" i="9"/>
  <c r="B86" i="9"/>
  <c r="C86" i="9"/>
  <c r="D86" i="9"/>
  <c r="E86" i="9"/>
  <c r="F86" i="9"/>
  <c r="G86" i="9"/>
  <c r="H86" i="9"/>
  <c r="I86" i="9"/>
  <c r="J86" i="9"/>
  <c r="K86" i="9"/>
  <c r="L86" i="9"/>
  <c r="M86" i="9"/>
  <c r="N86" i="9"/>
  <c r="O86" i="9"/>
  <c r="P86" i="9"/>
  <c r="Q86" i="9"/>
  <c r="R86" i="9"/>
  <c r="S86" i="9"/>
  <c r="T86" i="9"/>
  <c r="U86" i="9"/>
  <c r="V86" i="9"/>
  <c r="W86" i="9"/>
  <c r="X86" i="9"/>
  <c r="Y86" i="9"/>
  <c r="Z86" i="9"/>
  <c r="AA86" i="9"/>
  <c r="AB86" i="9"/>
  <c r="AC86" i="9"/>
  <c r="AD86" i="9"/>
  <c r="AE86" i="9"/>
  <c r="AF86" i="9"/>
  <c r="AG86" i="9"/>
  <c r="AH86" i="9"/>
  <c r="AI86" i="9"/>
  <c r="AJ86" i="9"/>
  <c r="AK86" i="9"/>
  <c r="AL86" i="9"/>
  <c r="AM86" i="9"/>
  <c r="AN86" i="9"/>
  <c r="AO86" i="9"/>
  <c r="AP86" i="9"/>
  <c r="AQ86" i="9"/>
  <c r="AR86" i="9"/>
  <c r="AS86" i="9"/>
  <c r="AT86" i="9"/>
  <c r="AU86" i="9"/>
  <c r="AV86" i="9"/>
  <c r="AW86" i="9"/>
  <c r="AX86" i="9"/>
  <c r="AY86" i="9"/>
  <c r="AZ86" i="9"/>
  <c r="BA86" i="9"/>
  <c r="BB86" i="9"/>
  <c r="BC86" i="9"/>
  <c r="BD86" i="9"/>
  <c r="BE86" i="9"/>
  <c r="BF86" i="9"/>
  <c r="BG86" i="9"/>
  <c r="BH86" i="9"/>
  <c r="BI86" i="9"/>
  <c r="BJ86" i="9"/>
  <c r="BK86" i="9"/>
  <c r="BL86" i="9"/>
  <c r="BM86" i="9"/>
  <c r="BN86" i="9"/>
  <c r="BO86" i="9"/>
  <c r="BP86" i="9"/>
  <c r="BQ86" i="9"/>
  <c r="BR86" i="9"/>
  <c r="BS86" i="9"/>
  <c r="BT86" i="9"/>
  <c r="BU86" i="9"/>
  <c r="BV86" i="9"/>
  <c r="BW86" i="9"/>
  <c r="BX86" i="9"/>
  <c r="BY86" i="9"/>
  <c r="BZ86" i="9"/>
  <c r="CA86" i="9"/>
  <c r="CB86" i="9"/>
  <c r="CC86" i="9"/>
  <c r="CD86" i="9"/>
  <c r="CE86" i="9"/>
  <c r="CF86" i="9"/>
  <c r="CG86" i="9"/>
  <c r="CH86" i="9"/>
  <c r="CI86" i="9"/>
  <c r="CJ86" i="9"/>
  <c r="CK86" i="9"/>
  <c r="CL86" i="9"/>
  <c r="CM86" i="9"/>
  <c r="CN86" i="9"/>
  <c r="CO86" i="9"/>
  <c r="CP86" i="9"/>
  <c r="CQ86" i="9"/>
  <c r="CR86" i="9"/>
  <c r="CS86" i="9"/>
  <c r="CT86" i="9"/>
  <c r="CU86" i="9"/>
  <c r="CV86" i="9"/>
  <c r="CW86" i="9"/>
  <c r="CX86" i="9"/>
  <c r="CY86" i="9"/>
  <c r="CZ86" i="9"/>
  <c r="DA86" i="9"/>
  <c r="DB86" i="9"/>
  <c r="DC86" i="9"/>
  <c r="DD86" i="9"/>
  <c r="DE86" i="9"/>
  <c r="DF86" i="9"/>
  <c r="DG86" i="9"/>
  <c r="DH86" i="9"/>
  <c r="DI86" i="9"/>
  <c r="DJ86" i="9"/>
  <c r="DK86" i="9"/>
  <c r="DL86" i="9"/>
  <c r="DM86" i="9"/>
  <c r="A85" i="9"/>
  <c r="B85" i="9"/>
  <c r="C85" i="9"/>
  <c r="D85" i="9"/>
  <c r="E85" i="9"/>
  <c r="F85" i="9"/>
  <c r="G85" i="9"/>
  <c r="H85" i="9"/>
  <c r="I85" i="9"/>
  <c r="J85" i="9"/>
  <c r="K85" i="9"/>
  <c r="L85" i="9"/>
  <c r="M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AL85" i="9"/>
  <c r="AM85" i="9"/>
  <c r="AN85" i="9"/>
  <c r="AO85" i="9"/>
  <c r="AP85" i="9"/>
  <c r="AQ85" i="9"/>
  <c r="AR85" i="9"/>
  <c r="AS85" i="9"/>
  <c r="AT85" i="9"/>
  <c r="AU85" i="9"/>
  <c r="AV85" i="9"/>
  <c r="AW85" i="9"/>
  <c r="AX85" i="9"/>
  <c r="AY85" i="9"/>
  <c r="AZ85" i="9"/>
  <c r="BA85" i="9"/>
  <c r="BB85" i="9"/>
  <c r="BC85" i="9"/>
  <c r="BD85" i="9"/>
  <c r="BE85" i="9"/>
  <c r="BF85" i="9"/>
  <c r="BG85" i="9"/>
  <c r="BH85" i="9"/>
  <c r="BI85" i="9"/>
  <c r="BJ85" i="9"/>
  <c r="BK85" i="9"/>
  <c r="BL85" i="9"/>
  <c r="BM85" i="9"/>
  <c r="BN85" i="9"/>
  <c r="BO85" i="9"/>
  <c r="BP85" i="9"/>
  <c r="BQ85" i="9"/>
  <c r="BR85" i="9"/>
  <c r="BS85" i="9"/>
  <c r="BT85" i="9"/>
  <c r="BU85" i="9"/>
  <c r="BV85" i="9"/>
  <c r="BW85" i="9"/>
  <c r="BX85" i="9"/>
  <c r="BY85" i="9"/>
  <c r="BZ85" i="9"/>
  <c r="CA85" i="9"/>
  <c r="CB85" i="9"/>
  <c r="CC85" i="9"/>
  <c r="CD85" i="9"/>
  <c r="CE85" i="9"/>
  <c r="CF85" i="9"/>
  <c r="CG85" i="9"/>
  <c r="CH85" i="9"/>
  <c r="CI85" i="9"/>
  <c r="CJ85" i="9"/>
  <c r="CK85" i="9"/>
  <c r="CL85" i="9"/>
  <c r="CM85" i="9"/>
  <c r="CN85" i="9"/>
  <c r="CO85" i="9"/>
  <c r="CP85" i="9"/>
  <c r="CQ85" i="9"/>
  <c r="CR85" i="9"/>
  <c r="CS85" i="9"/>
  <c r="CT85" i="9"/>
  <c r="CU85" i="9"/>
  <c r="CV85" i="9"/>
  <c r="CW85" i="9"/>
  <c r="CX85" i="9"/>
  <c r="CY85" i="9"/>
  <c r="CZ85" i="9"/>
  <c r="DA85" i="9"/>
  <c r="DB85" i="9"/>
  <c r="DC85" i="9"/>
  <c r="DD85" i="9"/>
  <c r="DE85" i="9"/>
  <c r="DF85" i="9"/>
  <c r="DG85" i="9"/>
  <c r="DH85" i="9"/>
  <c r="DI85" i="9"/>
  <c r="DJ85" i="9"/>
  <c r="DK85" i="9"/>
  <c r="DL85" i="9"/>
  <c r="DM85" i="9"/>
  <c r="DN85" i="9"/>
  <c r="DO85" i="9"/>
  <c r="DP85" i="9"/>
  <c r="DQ85" i="9"/>
  <c r="DR85" i="9"/>
  <c r="DS85" i="9"/>
  <c r="DT85" i="9"/>
  <c r="DU85" i="9"/>
  <c r="DV85" i="9"/>
  <c r="DW85" i="9"/>
  <c r="DX85" i="9"/>
  <c r="DY85" i="9"/>
  <c r="DZ85" i="9"/>
  <c r="EA85" i="9"/>
  <c r="EB85" i="9"/>
  <c r="EC85" i="9"/>
  <c r="ED85" i="9"/>
  <c r="EE85" i="9"/>
  <c r="EF85" i="9"/>
  <c r="EG85" i="9"/>
  <c r="EH85" i="9"/>
  <c r="A83" i="9"/>
  <c r="B83" i="9"/>
  <c r="C83" i="9"/>
  <c r="D83" i="9"/>
  <c r="E83" i="9"/>
  <c r="F83" i="9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AL83" i="9"/>
  <c r="AM83" i="9"/>
  <c r="AN83" i="9"/>
  <c r="AO83" i="9"/>
  <c r="AP83" i="9"/>
  <c r="AQ83" i="9"/>
  <c r="AR83" i="9"/>
  <c r="AS83" i="9"/>
  <c r="AT83" i="9"/>
  <c r="AU83" i="9"/>
  <c r="AV83" i="9"/>
  <c r="AW83" i="9"/>
  <c r="AX83" i="9"/>
  <c r="AY83" i="9"/>
  <c r="AZ83" i="9"/>
  <c r="BA83" i="9"/>
  <c r="BB83" i="9"/>
  <c r="BC83" i="9"/>
  <c r="BD83" i="9"/>
  <c r="BE83" i="9"/>
  <c r="BF83" i="9"/>
  <c r="BG83" i="9"/>
  <c r="BH83" i="9"/>
  <c r="BI83" i="9"/>
  <c r="BJ83" i="9"/>
  <c r="BK83" i="9"/>
  <c r="BL83" i="9"/>
  <c r="BM83" i="9"/>
  <c r="BN83" i="9"/>
  <c r="BO83" i="9"/>
  <c r="BP83" i="9"/>
  <c r="BQ83" i="9"/>
  <c r="BR83" i="9"/>
  <c r="BS83" i="9"/>
  <c r="BT83" i="9"/>
  <c r="BU83" i="9"/>
  <c r="BV83" i="9"/>
  <c r="BW83" i="9"/>
  <c r="BX83" i="9"/>
  <c r="BY83" i="9"/>
  <c r="BZ83" i="9"/>
  <c r="CA83" i="9"/>
  <c r="CB83" i="9"/>
  <c r="CC83" i="9"/>
  <c r="CD83" i="9"/>
  <c r="CE83" i="9"/>
  <c r="CF83" i="9"/>
  <c r="CG83" i="9"/>
  <c r="CH83" i="9"/>
  <c r="CI83" i="9"/>
  <c r="CJ83" i="9"/>
  <c r="CK83" i="9"/>
  <c r="CL83" i="9"/>
  <c r="CM83" i="9"/>
  <c r="CN83" i="9"/>
  <c r="CO83" i="9"/>
  <c r="CP83" i="9"/>
  <c r="CQ83" i="9"/>
  <c r="CR83" i="9"/>
  <c r="CS83" i="9"/>
  <c r="CT83" i="9"/>
  <c r="CU83" i="9"/>
  <c r="CV83" i="9"/>
  <c r="CW83" i="9"/>
  <c r="CX83" i="9"/>
  <c r="CY83" i="9"/>
  <c r="CZ83" i="9"/>
  <c r="DA83" i="9"/>
  <c r="DB83" i="9"/>
  <c r="DC83" i="9"/>
  <c r="DD83" i="9"/>
  <c r="DE83" i="9"/>
  <c r="DF83" i="9"/>
  <c r="DG83" i="9"/>
  <c r="DH83" i="9"/>
  <c r="DI83" i="9"/>
  <c r="DJ83" i="9"/>
  <c r="DK83" i="9"/>
  <c r="DL83" i="9"/>
  <c r="DM83" i="9"/>
  <c r="DN83" i="9"/>
  <c r="DO83" i="9"/>
  <c r="DP83" i="9"/>
  <c r="DQ83" i="9"/>
  <c r="DR83" i="9"/>
  <c r="DS83" i="9"/>
  <c r="DT83" i="9"/>
  <c r="DU83" i="9"/>
  <c r="DV83" i="9"/>
  <c r="DW83" i="9"/>
  <c r="DX83" i="9"/>
  <c r="DY83" i="9"/>
  <c r="DZ83" i="9"/>
  <c r="EA83" i="9"/>
  <c r="EB83" i="9"/>
  <c r="EC83" i="9"/>
  <c r="ED83" i="9"/>
  <c r="EE83" i="9"/>
  <c r="EF83" i="9"/>
  <c r="EG83" i="9"/>
  <c r="EH83" i="9"/>
  <c r="EI83" i="9"/>
  <c r="EJ83" i="9"/>
  <c r="EK83" i="9"/>
  <c r="EL83" i="9"/>
  <c r="EM83" i="9"/>
  <c r="EN83" i="9"/>
  <c r="EO83" i="9"/>
  <c r="EP83" i="9"/>
  <c r="EQ83" i="9"/>
  <c r="ER83" i="9"/>
  <c r="ES83" i="9"/>
  <c r="ET83" i="9"/>
  <c r="EU83" i="9"/>
  <c r="EV83" i="9"/>
  <c r="EW83" i="9"/>
  <c r="EX83" i="9"/>
  <c r="EY83" i="9"/>
  <c r="EZ83" i="9"/>
  <c r="FA83" i="9"/>
  <c r="FB83" i="9"/>
  <c r="FC83" i="9"/>
  <c r="FD83" i="9"/>
  <c r="FE83" i="9"/>
  <c r="FF83" i="9"/>
  <c r="FG83" i="9"/>
  <c r="FH83" i="9"/>
  <c r="FI83" i="9"/>
  <c r="FJ83" i="9"/>
  <c r="FK83" i="9"/>
  <c r="FL83" i="9"/>
  <c r="FM83" i="9"/>
  <c r="FN83" i="9"/>
  <c r="FO83" i="9"/>
  <c r="FP83" i="9"/>
  <c r="FQ83" i="9"/>
  <c r="FR83" i="9"/>
  <c r="FS83" i="9"/>
  <c r="FT83" i="9"/>
  <c r="FU83" i="9"/>
  <c r="FV83" i="9"/>
  <c r="FW83" i="9"/>
  <c r="FX83" i="9"/>
  <c r="FY83" i="9"/>
  <c r="FZ83" i="9"/>
  <c r="GA83" i="9"/>
  <c r="GB83" i="9"/>
  <c r="GC83" i="9"/>
  <c r="GD83" i="9"/>
  <c r="A82" i="9"/>
  <c r="B82" i="9"/>
  <c r="C82" i="9"/>
  <c r="D82" i="9"/>
  <c r="E82" i="9"/>
  <c r="F82" i="9"/>
  <c r="G82" i="9"/>
  <c r="H82" i="9"/>
  <c r="I82" i="9"/>
  <c r="J82" i="9"/>
  <c r="K82" i="9"/>
  <c r="L82" i="9"/>
  <c r="M82" i="9"/>
  <c r="N82" i="9"/>
  <c r="O82" i="9"/>
  <c r="P82" i="9"/>
  <c r="Q82" i="9"/>
  <c r="R82" i="9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AL82" i="9"/>
  <c r="AM82" i="9"/>
  <c r="AN82" i="9"/>
  <c r="AO82" i="9"/>
  <c r="AP82" i="9"/>
  <c r="AQ82" i="9"/>
  <c r="AR82" i="9"/>
  <c r="AS82" i="9"/>
  <c r="AT82" i="9"/>
  <c r="AU82" i="9"/>
  <c r="AV82" i="9"/>
  <c r="AW82" i="9"/>
  <c r="AX82" i="9"/>
  <c r="AY82" i="9"/>
  <c r="AZ82" i="9"/>
  <c r="BA82" i="9"/>
  <c r="BB82" i="9"/>
  <c r="BC82" i="9"/>
  <c r="BD82" i="9"/>
  <c r="BE82" i="9"/>
  <c r="BF82" i="9"/>
  <c r="BG82" i="9"/>
  <c r="BH82" i="9"/>
  <c r="BI82" i="9"/>
  <c r="BJ82" i="9"/>
  <c r="BK82" i="9"/>
  <c r="BL82" i="9"/>
  <c r="BM82" i="9"/>
  <c r="BN82" i="9"/>
  <c r="BO82" i="9"/>
  <c r="BP82" i="9"/>
  <c r="BQ82" i="9"/>
  <c r="BR82" i="9"/>
  <c r="BS82" i="9"/>
  <c r="BT82" i="9"/>
  <c r="BU82" i="9"/>
  <c r="BV82" i="9"/>
  <c r="BW82" i="9"/>
  <c r="BX82" i="9"/>
  <c r="BY82" i="9"/>
  <c r="BZ82" i="9"/>
  <c r="CA82" i="9"/>
  <c r="CB82" i="9"/>
  <c r="CC82" i="9"/>
  <c r="CD82" i="9"/>
  <c r="CE82" i="9"/>
  <c r="CF82" i="9"/>
  <c r="CG82" i="9"/>
  <c r="CH82" i="9"/>
  <c r="CI82" i="9"/>
  <c r="CJ82" i="9"/>
  <c r="CK82" i="9"/>
  <c r="CL82" i="9"/>
  <c r="CM82" i="9"/>
  <c r="CN82" i="9"/>
  <c r="CO82" i="9"/>
  <c r="CP82" i="9"/>
  <c r="CQ82" i="9"/>
  <c r="CR82" i="9"/>
  <c r="CS82" i="9"/>
  <c r="CT82" i="9"/>
  <c r="CU82" i="9"/>
  <c r="CV82" i="9"/>
  <c r="CW82" i="9"/>
  <c r="CX82" i="9"/>
  <c r="CY82" i="9"/>
  <c r="CZ82" i="9"/>
  <c r="DA82" i="9"/>
  <c r="DB82" i="9"/>
  <c r="DC82" i="9"/>
  <c r="DD82" i="9"/>
  <c r="DE82" i="9"/>
  <c r="DF82" i="9"/>
  <c r="DG82" i="9"/>
  <c r="DH82" i="9"/>
  <c r="DI82" i="9"/>
  <c r="DJ82" i="9"/>
  <c r="DK82" i="9"/>
  <c r="DL82" i="9"/>
  <c r="DM82" i="9"/>
  <c r="DN82" i="9"/>
  <c r="DO82" i="9"/>
  <c r="DP82" i="9"/>
  <c r="DQ82" i="9"/>
  <c r="DR82" i="9"/>
  <c r="DS82" i="9"/>
  <c r="DT82" i="9"/>
  <c r="DU82" i="9"/>
  <c r="DV82" i="9"/>
  <c r="DW82" i="9"/>
  <c r="DX82" i="9"/>
  <c r="DY82" i="9"/>
  <c r="DZ82" i="9"/>
  <c r="EA82" i="9"/>
  <c r="EB82" i="9"/>
  <c r="EC82" i="9"/>
  <c r="ED82" i="9"/>
  <c r="EE82" i="9"/>
  <c r="EF82" i="9"/>
  <c r="EG82" i="9"/>
  <c r="EH82" i="9"/>
  <c r="EI82" i="9"/>
  <c r="EJ82" i="9"/>
  <c r="EK82" i="9"/>
  <c r="EL82" i="9"/>
  <c r="EM82" i="9"/>
  <c r="EN82" i="9"/>
  <c r="EO82" i="9"/>
  <c r="EP82" i="9"/>
  <c r="EQ82" i="9"/>
  <c r="ER82" i="9"/>
  <c r="ES82" i="9"/>
  <c r="ET82" i="9"/>
  <c r="EU82" i="9"/>
  <c r="EV82" i="9"/>
  <c r="EW82" i="9"/>
  <c r="EX82" i="9"/>
  <c r="EY82" i="9"/>
  <c r="EZ82" i="9"/>
  <c r="FA82" i="9"/>
  <c r="FB82" i="9"/>
  <c r="FC82" i="9"/>
  <c r="FD82" i="9"/>
  <c r="FE82" i="9"/>
  <c r="FF82" i="9"/>
  <c r="FG82" i="9"/>
  <c r="FH82" i="9"/>
  <c r="FI82" i="9"/>
  <c r="FJ82" i="9"/>
  <c r="FK82" i="9"/>
  <c r="FL82" i="9"/>
  <c r="FM82" i="9"/>
  <c r="FN82" i="9"/>
  <c r="FO82" i="9"/>
  <c r="FP82" i="9"/>
  <c r="FQ82" i="9"/>
  <c r="FR82" i="9"/>
  <c r="FS82" i="9"/>
  <c r="FT82" i="9"/>
  <c r="FU82" i="9"/>
  <c r="FV82" i="9"/>
  <c r="FW82" i="9"/>
  <c r="FX82" i="9"/>
  <c r="FY82" i="9"/>
  <c r="FZ82" i="9"/>
  <c r="GA82" i="9"/>
  <c r="GB82" i="9"/>
  <c r="GC82" i="9"/>
  <c r="GD82" i="9"/>
  <c r="GE82" i="9"/>
  <c r="GF82" i="9"/>
  <c r="GG82" i="9"/>
  <c r="GH82" i="9"/>
  <c r="GI82" i="9"/>
  <c r="GJ82" i="9"/>
  <c r="GK82" i="9"/>
  <c r="GL82" i="9"/>
  <c r="GM82" i="9"/>
  <c r="GN82" i="9"/>
  <c r="GO82" i="9"/>
  <c r="GP82" i="9"/>
  <c r="GQ82" i="9"/>
  <c r="GR82" i="9"/>
  <c r="GS82" i="9"/>
  <c r="GT82" i="9"/>
  <c r="GU82" i="9"/>
  <c r="GV82" i="9"/>
  <c r="GW82" i="9"/>
  <c r="GX82" i="9"/>
  <c r="GY82" i="9"/>
  <c r="GZ82" i="9"/>
  <c r="HA82" i="9"/>
  <c r="HB82" i="9"/>
  <c r="HC82" i="9"/>
  <c r="HD82" i="9"/>
  <c r="HE82" i="9"/>
  <c r="HF82" i="9"/>
  <c r="HG82" i="9"/>
  <c r="HH82" i="9"/>
  <c r="HI82" i="9"/>
  <c r="HJ82" i="9"/>
  <c r="HK82" i="9"/>
  <c r="HL82" i="9"/>
  <c r="HM82" i="9"/>
  <c r="HN82" i="9"/>
  <c r="HO82" i="9"/>
  <c r="HP82" i="9"/>
  <c r="HQ82" i="9"/>
  <c r="HR82" i="9"/>
  <c r="HS82" i="9"/>
  <c r="HT82" i="9"/>
  <c r="HU82" i="9"/>
  <c r="HV82" i="9"/>
  <c r="HW82" i="9"/>
  <c r="HX82" i="9"/>
  <c r="HY82" i="9"/>
  <c r="HZ82" i="9"/>
  <c r="IA82" i="9"/>
  <c r="IB82" i="9"/>
  <c r="IC82" i="9"/>
  <c r="ID82" i="9"/>
  <c r="IE82" i="9"/>
  <c r="IF82" i="9"/>
  <c r="IG82" i="9"/>
  <c r="IH82" i="9"/>
  <c r="II82" i="9"/>
  <c r="IJ82" i="9"/>
  <c r="IK82" i="9"/>
  <c r="IL82" i="9"/>
  <c r="IM82" i="9"/>
  <c r="IN82" i="9"/>
  <c r="IO82" i="9"/>
  <c r="IP82" i="9"/>
  <c r="IQ82" i="9"/>
  <c r="IR82" i="9"/>
  <c r="IS82" i="9"/>
  <c r="IT82" i="9"/>
  <c r="IU82" i="9"/>
  <c r="IV82" i="9"/>
  <c r="A81" i="9"/>
  <c r="B81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EE81" i="9"/>
  <c r="EF81" i="9"/>
  <c r="EG81" i="9"/>
  <c r="EH81" i="9"/>
  <c r="EI81" i="9"/>
  <c r="EJ81" i="9"/>
  <c r="EK81" i="9"/>
  <c r="EL81" i="9"/>
  <c r="EM81" i="9"/>
  <c r="EN81" i="9"/>
  <c r="EO81" i="9"/>
  <c r="EP81" i="9"/>
  <c r="EQ81" i="9"/>
  <c r="ER81" i="9"/>
  <c r="ES81" i="9"/>
  <c r="ET81" i="9"/>
  <c r="EU81" i="9"/>
  <c r="EV81" i="9"/>
  <c r="EW81" i="9"/>
  <c r="EX81" i="9"/>
  <c r="EY81" i="9"/>
  <c r="EZ81" i="9"/>
  <c r="FA81" i="9"/>
  <c r="FB81" i="9"/>
  <c r="FC81" i="9"/>
  <c r="FD81" i="9"/>
  <c r="FE81" i="9"/>
  <c r="FF81" i="9"/>
  <c r="FG81" i="9"/>
  <c r="FH81" i="9"/>
  <c r="FI81" i="9"/>
  <c r="FJ81" i="9"/>
  <c r="FK81" i="9"/>
  <c r="FL81" i="9"/>
  <c r="FM81" i="9"/>
  <c r="FN81" i="9"/>
  <c r="FO81" i="9"/>
  <c r="FP81" i="9"/>
  <c r="FQ81" i="9"/>
  <c r="FR81" i="9"/>
  <c r="FS81" i="9"/>
  <c r="FT81" i="9"/>
  <c r="FU81" i="9"/>
  <c r="FV81" i="9"/>
  <c r="FW81" i="9"/>
  <c r="FX81" i="9"/>
  <c r="FY81" i="9"/>
  <c r="FZ81" i="9"/>
  <c r="GA81" i="9"/>
  <c r="GB81" i="9"/>
  <c r="GC81" i="9"/>
  <c r="GD81" i="9"/>
  <c r="GE81" i="9"/>
  <c r="GF81" i="9"/>
  <c r="GG81" i="9"/>
  <c r="GH81" i="9"/>
  <c r="GI81" i="9"/>
  <c r="GJ81" i="9"/>
  <c r="GK81" i="9"/>
  <c r="GL81" i="9"/>
  <c r="GM81" i="9"/>
  <c r="GN81" i="9"/>
  <c r="GO81" i="9"/>
  <c r="GP81" i="9"/>
  <c r="GQ81" i="9"/>
  <c r="GR81" i="9"/>
  <c r="GS81" i="9"/>
  <c r="GT81" i="9"/>
  <c r="GU81" i="9"/>
  <c r="GV81" i="9"/>
  <c r="GW81" i="9"/>
  <c r="GX81" i="9"/>
  <c r="GY81" i="9"/>
  <c r="GZ81" i="9"/>
  <c r="HA81" i="9"/>
  <c r="HB81" i="9"/>
  <c r="HC81" i="9"/>
  <c r="HD81" i="9"/>
  <c r="HE81" i="9"/>
  <c r="HF81" i="9"/>
  <c r="HG81" i="9"/>
  <c r="HH81" i="9"/>
  <c r="HI81" i="9"/>
  <c r="HJ81" i="9"/>
  <c r="HK81" i="9"/>
  <c r="HL81" i="9"/>
  <c r="HM81" i="9"/>
  <c r="HN81" i="9"/>
  <c r="HO81" i="9"/>
  <c r="HP81" i="9"/>
  <c r="HQ81" i="9"/>
  <c r="HR81" i="9"/>
  <c r="HS81" i="9"/>
  <c r="HT81" i="9"/>
  <c r="HU81" i="9"/>
  <c r="HV81" i="9"/>
  <c r="HW81" i="9"/>
  <c r="HX81" i="9"/>
  <c r="HY81" i="9"/>
  <c r="HZ81" i="9"/>
  <c r="IA81" i="9"/>
  <c r="IB81" i="9"/>
  <c r="IC81" i="9"/>
  <c r="ID81" i="9"/>
  <c r="IE81" i="9"/>
  <c r="IF81" i="9"/>
  <c r="IG81" i="9"/>
  <c r="IH81" i="9"/>
  <c r="II81" i="9"/>
  <c r="IJ81" i="9"/>
  <c r="IK81" i="9"/>
  <c r="IL81" i="9"/>
  <c r="IM81" i="9"/>
  <c r="IN81" i="9"/>
  <c r="IO81" i="9"/>
  <c r="IP81" i="9"/>
  <c r="IQ81" i="9"/>
  <c r="IR81" i="9"/>
  <c r="IS81" i="9"/>
  <c r="IT81" i="9"/>
  <c r="IU81" i="9"/>
  <c r="IV81" i="9"/>
  <c r="A80" i="9"/>
  <c r="B80" i="9"/>
  <c r="C80" i="9"/>
  <c r="D80" i="9"/>
  <c r="E80" i="9"/>
  <c r="F80" i="9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AL80" i="9"/>
  <c r="AM80" i="9"/>
  <c r="AN80" i="9"/>
  <c r="AO80" i="9"/>
  <c r="AP80" i="9"/>
  <c r="AQ80" i="9"/>
  <c r="AR80" i="9"/>
  <c r="AS80" i="9"/>
  <c r="AT80" i="9"/>
  <c r="AU80" i="9"/>
  <c r="AV80" i="9"/>
  <c r="AW80" i="9"/>
  <c r="AX80" i="9"/>
  <c r="AY80" i="9"/>
  <c r="AZ80" i="9"/>
  <c r="BA80" i="9"/>
  <c r="BB80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BT80" i="9"/>
  <c r="BU80" i="9"/>
  <c r="BV80" i="9"/>
  <c r="BW80" i="9"/>
  <c r="BX80" i="9"/>
  <c r="BY80" i="9"/>
  <c r="BZ80" i="9"/>
  <c r="CA80" i="9"/>
  <c r="CB80" i="9"/>
  <c r="CC80" i="9"/>
  <c r="CD80" i="9"/>
  <c r="CE80" i="9"/>
  <c r="CF80" i="9"/>
  <c r="CG80" i="9"/>
  <c r="CH80" i="9"/>
  <c r="CI80" i="9"/>
  <c r="CJ80" i="9"/>
  <c r="CK80" i="9"/>
  <c r="CL80" i="9"/>
  <c r="CM80" i="9"/>
  <c r="CN80" i="9"/>
  <c r="CO80" i="9"/>
  <c r="CP80" i="9"/>
  <c r="CQ80" i="9"/>
  <c r="CR80" i="9"/>
  <c r="CS80" i="9"/>
  <c r="CT80" i="9"/>
  <c r="CU80" i="9"/>
  <c r="CV80" i="9"/>
  <c r="CW80" i="9"/>
  <c r="CX80" i="9"/>
  <c r="CY80" i="9"/>
  <c r="CZ80" i="9"/>
  <c r="DA80" i="9"/>
  <c r="DB80" i="9"/>
  <c r="DC80" i="9"/>
  <c r="DD80" i="9"/>
  <c r="DE80" i="9"/>
  <c r="DF80" i="9"/>
  <c r="DG80" i="9"/>
  <c r="DH80" i="9"/>
  <c r="DI80" i="9"/>
  <c r="DJ80" i="9"/>
  <c r="DK80" i="9"/>
  <c r="DL80" i="9"/>
  <c r="DM80" i="9"/>
  <c r="DN80" i="9"/>
  <c r="DO80" i="9"/>
  <c r="DP80" i="9"/>
  <c r="DQ80" i="9"/>
  <c r="DR80" i="9"/>
  <c r="DS80" i="9"/>
  <c r="DT80" i="9"/>
  <c r="DU80" i="9"/>
  <c r="DV80" i="9"/>
  <c r="DW80" i="9"/>
  <c r="DX80" i="9"/>
  <c r="DY80" i="9"/>
  <c r="DZ80" i="9"/>
  <c r="EA80" i="9"/>
  <c r="EB80" i="9"/>
  <c r="EC80" i="9"/>
  <c r="ED80" i="9"/>
  <c r="EE80" i="9"/>
  <c r="EF80" i="9"/>
  <c r="EG80" i="9"/>
  <c r="EH80" i="9"/>
  <c r="EI80" i="9"/>
  <c r="EJ80" i="9"/>
  <c r="EK80" i="9"/>
  <c r="EL80" i="9"/>
  <c r="EM80" i="9"/>
  <c r="EN80" i="9"/>
  <c r="EO80" i="9"/>
  <c r="EP80" i="9"/>
  <c r="EQ80" i="9"/>
  <c r="ER80" i="9"/>
  <c r="ES80" i="9"/>
  <c r="ET80" i="9"/>
  <c r="EU80" i="9"/>
  <c r="EV80" i="9"/>
  <c r="EW80" i="9"/>
  <c r="EX80" i="9"/>
  <c r="EY80" i="9"/>
  <c r="EZ80" i="9"/>
  <c r="FA80" i="9"/>
  <c r="FB80" i="9"/>
  <c r="FC80" i="9"/>
  <c r="FD80" i="9"/>
  <c r="FE80" i="9"/>
  <c r="FF80" i="9"/>
  <c r="FG80" i="9"/>
  <c r="FH80" i="9"/>
  <c r="FI80" i="9"/>
  <c r="FJ80" i="9"/>
  <c r="FK80" i="9"/>
  <c r="FL80" i="9"/>
  <c r="FM80" i="9"/>
  <c r="FN80" i="9"/>
  <c r="FO80" i="9"/>
  <c r="FP80" i="9"/>
  <c r="FQ80" i="9"/>
  <c r="FR80" i="9"/>
  <c r="FS80" i="9"/>
  <c r="FT80" i="9"/>
  <c r="FU80" i="9"/>
  <c r="FV80" i="9"/>
  <c r="FW80" i="9"/>
  <c r="FX80" i="9"/>
  <c r="FY80" i="9"/>
  <c r="FZ80" i="9"/>
  <c r="GA80" i="9"/>
  <c r="GB80" i="9"/>
  <c r="GC80" i="9"/>
  <c r="GD80" i="9"/>
  <c r="GE80" i="9"/>
  <c r="GF80" i="9"/>
  <c r="GG80" i="9"/>
  <c r="GH80" i="9"/>
  <c r="GI80" i="9"/>
  <c r="GJ80" i="9"/>
  <c r="GK80" i="9"/>
  <c r="GL80" i="9"/>
  <c r="GM80" i="9"/>
  <c r="GN80" i="9"/>
  <c r="GO80" i="9"/>
  <c r="GP80" i="9"/>
  <c r="GQ80" i="9"/>
  <c r="GR80" i="9"/>
  <c r="GS80" i="9"/>
  <c r="GT80" i="9"/>
  <c r="GU80" i="9"/>
  <c r="GV80" i="9"/>
  <c r="GW80" i="9"/>
  <c r="GX80" i="9"/>
  <c r="GY80" i="9"/>
  <c r="GZ80" i="9"/>
  <c r="HA80" i="9"/>
  <c r="HB80" i="9"/>
  <c r="HC80" i="9"/>
  <c r="HD80" i="9"/>
  <c r="HE80" i="9"/>
  <c r="HF80" i="9"/>
  <c r="HG80" i="9"/>
  <c r="HH80" i="9"/>
  <c r="HI80" i="9"/>
  <c r="HJ80" i="9"/>
  <c r="HK80" i="9"/>
  <c r="HL80" i="9"/>
  <c r="HM80" i="9"/>
  <c r="HN80" i="9"/>
  <c r="HO80" i="9"/>
  <c r="HP80" i="9"/>
  <c r="HQ80" i="9"/>
  <c r="HR80" i="9"/>
  <c r="HS80" i="9"/>
  <c r="HT80" i="9"/>
  <c r="HU80" i="9"/>
  <c r="HV80" i="9"/>
  <c r="HW80" i="9"/>
  <c r="HX80" i="9"/>
  <c r="HY80" i="9"/>
  <c r="HZ80" i="9"/>
  <c r="IA80" i="9"/>
  <c r="IB80" i="9"/>
  <c r="IC80" i="9"/>
  <c r="ID80" i="9"/>
  <c r="IE80" i="9"/>
  <c r="IF80" i="9"/>
  <c r="IG80" i="9"/>
  <c r="IH80" i="9"/>
  <c r="II80" i="9"/>
  <c r="IJ80" i="9"/>
  <c r="IK80" i="9"/>
  <c r="IL80" i="9"/>
  <c r="IM80" i="9"/>
  <c r="IN80" i="9"/>
  <c r="IO80" i="9"/>
  <c r="IP80" i="9"/>
  <c r="IQ80" i="9"/>
  <c r="IR80" i="9"/>
  <c r="IS80" i="9"/>
  <c r="IT80" i="9"/>
  <c r="IU80" i="9"/>
  <c r="IV80" i="9"/>
  <c r="A79" i="9"/>
  <c r="B79" i="9"/>
  <c r="C79" i="9"/>
  <c r="D79" i="9"/>
  <c r="E79" i="9"/>
  <c r="F79" i="9"/>
  <c r="G79" i="9"/>
  <c r="H79" i="9"/>
  <c r="I79" i="9"/>
  <c r="J79" i="9"/>
  <c r="K79" i="9"/>
  <c r="L79" i="9"/>
  <c r="M79" i="9"/>
  <c r="N79" i="9"/>
  <c r="O79" i="9"/>
  <c r="P79" i="9"/>
  <c r="Q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AL79" i="9"/>
  <c r="AM79" i="9"/>
  <c r="AN79" i="9"/>
  <c r="AO79" i="9"/>
  <c r="AP79" i="9"/>
  <c r="AQ79" i="9"/>
  <c r="AR79" i="9"/>
  <c r="AS79" i="9"/>
  <c r="AT79" i="9"/>
  <c r="AU79" i="9"/>
  <c r="AV79" i="9"/>
  <c r="AW79" i="9"/>
  <c r="AX79" i="9"/>
  <c r="AY79" i="9"/>
  <c r="AZ79" i="9"/>
  <c r="BA79" i="9"/>
  <c r="BB79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BT79" i="9"/>
  <c r="BU79" i="9"/>
  <c r="BV79" i="9"/>
  <c r="BW79" i="9"/>
  <c r="BX79" i="9"/>
  <c r="BY79" i="9"/>
  <c r="BZ79" i="9"/>
  <c r="CA79" i="9"/>
  <c r="CB79" i="9"/>
  <c r="CC79" i="9"/>
  <c r="CD79" i="9"/>
  <c r="CE79" i="9"/>
  <c r="CF79" i="9"/>
  <c r="CG79" i="9"/>
  <c r="CH79" i="9"/>
  <c r="CI79" i="9"/>
  <c r="CJ79" i="9"/>
  <c r="CK79" i="9"/>
  <c r="CL79" i="9"/>
  <c r="CM79" i="9"/>
  <c r="CN79" i="9"/>
  <c r="CO79" i="9"/>
  <c r="CP79" i="9"/>
  <c r="CQ79" i="9"/>
  <c r="CR79" i="9"/>
  <c r="CS79" i="9"/>
  <c r="CT79" i="9"/>
  <c r="CU79" i="9"/>
  <c r="CV79" i="9"/>
  <c r="CW79" i="9"/>
  <c r="CX79" i="9"/>
  <c r="CY79" i="9"/>
  <c r="CZ79" i="9"/>
  <c r="DA79" i="9"/>
  <c r="DB79" i="9"/>
  <c r="DC79" i="9"/>
  <c r="DD79" i="9"/>
  <c r="DE79" i="9"/>
  <c r="DF79" i="9"/>
  <c r="DG79" i="9"/>
  <c r="DH79" i="9"/>
  <c r="DI79" i="9"/>
  <c r="DJ79" i="9"/>
  <c r="DK79" i="9"/>
  <c r="DL79" i="9"/>
  <c r="DM79" i="9"/>
  <c r="DN79" i="9"/>
  <c r="DO79" i="9"/>
  <c r="DP79" i="9"/>
  <c r="DQ79" i="9"/>
  <c r="DR79" i="9"/>
  <c r="DS79" i="9"/>
  <c r="DT79" i="9"/>
  <c r="DU79" i="9"/>
  <c r="DV79" i="9"/>
  <c r="DW79" i="9"/>
  <c r="DX79" i="9"/>
  <c r="DY79" i="9"/>
  <c r="DZ79" i="9"/>
  <c r="EA79" i="9"/>
  <c r="EB79" i="9"/>
  <c r="EC79" i="9"/>
  <c r="ED79" i="9"/>
  <c r="EE79" i="9"/>
  <c r="EF79" i="9"/>
  <c r="EG79" i="9"/>
  <c r="EH79" i="9"/>
  <c r="EI79" i="9"/>
  <c r="EJ79" i="9"/>
  <c r="EK79" i="9"/>
  <c r="EL79" i="9"/>
  <c r="EM79" i="9"/>
  <c r="EN79" i="9"/>
  <c r="EO79" i="9"/>
  <c r="EP79" i="9"/>
  <c r="EQ79" i="9"/>
  <c r="ER79" i="9"/>
  <c r="ES79" i="9"/>
  <c r="ET79" i="9"/>
  <c r="EU79" i="9"/>
  <c r="EV79" i="9"/>
  <c r="EW79" i="9"/>
  <c r="EX79" i="9"/>
  <c r="EY79" i="9"/>
  <c r="EZ79" i="9"/>
  <c r="FA79" i="9"/>
  <c r="FB79" i="9"/>
  <c r="FC79" i="9"/>
  <c r="FD79" i="9"/>
  <c r="FE79" i="9"/>
  <c r="FF79" i="9"/>
  <c r="FG79" i="9"/>
  <c r="FH79" i="9"/>
  <c r="FI79" i="9"/>
  <c r="FJ79" i="9"/>
  <c r="FK79" i="9"/>
  <c r="FL79" i="9"/>
  <c r="FM79" i="9"/>
  <c r="FN79" i="9"/>
  <c r="FO79" i="9"/>
  <c r="FP79" i="9"/>
  <c r="FQ79" i="9"/>
  <c r="FR79" i="9"/>
  <c r="FS79" i="9"/>
  <c r="FT79" i="9"/>
  <c r="FU79" i="9"/>
  <c r="FV79" i="9"/>
  <c r="FW79" i="9"/>
  <c r="FX79" i="9"/>
  <c r="FY79" i="9"/>
  <c r="FZ79" i="9"/>
  <c r="GA79" i="9"/>
  <c r="GB79" i="9"/>
  <c r="GC79" i="9"/>
  <c r="GD79" i="9"/>
  <c r="GE79" i="9"/>
  <c r="GF79" i="9"/>
  <c r="GG79" i="9"/>
  <c r="GH79" i="9"/>
  <c r="GI79" i="9"/>
  <c r="GJ79" i="9"/>
  <c r="GK79" i="9"/>
  <c r="GL79" i="9"/>
  <c r="GM79" i="9"/>
  <c r="GN79" i="9"/>
  <c r="GO79" i="9"/>
  <c r="GP79" i="9"/>
  <c r="GQ79" i="9"/>
  <c r="GR79" i="9"/>
  <c r="GS79" i="9"/>
  <c r="GT79" i="9"/>
  <c r="GU79" i="9"/>
  <c r="GV79" i="9"/>
  <c r="GW79" i="9"/>
  <c r="GX79" i="9"/>
  <c r="GY79" i="9"/>
  <c r="GZ79" i="9"/>
  <c r="HA79" i="9"/>
  <c r="HB79" i="9"/>
  <c r="HC79" i="9"/>
  <c r="HD79" i="9"/>
  <c r="HE79" i="9"/>
  <c r="HF79" i="9"/>
  <c r="HG79" i="9"/>
  <c r="HH79" i="9"/>
  <c r="HI79" i="9"/>
  <c r="HJ79" i="9"/>
  <c r="HK79" i="9"/>
  <c r="HL79" i="9"/>
  <c r="HM79" i="9"/>
  <c r="HN79" i="9"/>
  <c r="HO79" i="9"/>
  <c r="HP79" i="9"/>
  <c r="HQ79" i="9"/>
  <c r="HR79" i="9"/>
  <c r="HS79" i="9"/>
  <c r="HT79" i="9"/>
  <c r="HU79" i="9"/>
  <c r="HV79" i="9"/>
  <c r="HW79" i="9"/>
  <c r="HX79" i="9"/>
  <c r="HY79" i="9"/>
  <c r="HZ79" i="9"/>
  <c r="IA79" i="9"/>
  <c r="IB79" i="9"/>
  <c r="IC79" i="9"/>
  <c r="ID79" i="9"/>
  <c r="IE79" i="9"/>
  <c r="IF79" i="9"/>
  <c r="IG79" i="9"/>
  <c r="IH79" i="9"/>
  <c r="II79" i="9"/>
  <c r="IJ79" i="9"/>
  <c r="IK79" i="9"/>
  <c r="IL79" i="9"/>
  <c r="IM79" i="9"/>
  <c r="IN79" i="9"/>
  <c r="IO79" i="9"/>
  <c r="IP79" i="9"/>
  <c r="IQ79" i="9"/>
  <c r="IR79" i="9"/>
  <c r="IS79" i="9"/>
  <c r="IT79" i="9"/>
  <c r="IU79" i="9"/>
  <c r="IV79" i="9"/>
  <c r="A78" i="9"/>
  <c r="B78" i="9"/>
  <c r="C78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AL78" i="9"/>
  <c r="AM78" i="9"/>
  <c r="AN78" i="9"/>
  <c r="AO78" i="9"/>
  <c r="AP78" i="9"/>
  <c r="AQ78" i="9"/>
  <c r="AR78" i="9"/>
  <c r="AS78" i="9"/>
  <c r="AT78" i="9"/>
  <c r="AU78" i="9"/>
  <c r="AV78" i="9"/>
  <c r="AW78" i="9"/>
  <c r="AX78" i="9"/>
  <c r="AY78" i="9"/>
  <c r="AZ78" i="9"/>
  <c r="BA78" i="9"/>
  <c r="BB78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BT78" i="9"/>
  <c r="BU78" i="9"/>
  <c r="BV78" i="9"/>
  <c r="BW78" i="9"/>
  <c r="BX78" i="9"/>
  <c r="BY78" i="9"/>
  <c r="BZ78" i="9"/>
  <c r="CA78" i="9"/>
  <c r="CB78" i="9"/>
  <c r="CC78" i="9"/>
  <c r="CD78" i="9"/>
  <c r="CE78" i="9"/>
  <c r="CF78" i="9"/>
  <c r="CG78" i="9"/>
  <c r="CH78" i="9"/>
  <c r="CI78" i="9"/>
  <c r="CJ78" i="9"/>
  <c r="CK78" i="9"/>
  <c r="CL78" i="9"/>
  <c r="CM78" i="9"/>
  <c r="CN78" i="9"/>
  <c r="CO78" i="9"/>
  <c r="CP78" i="9"/>
  <c r="CQ78" i="9"/>
  <c r="CR78" i="9"/>
  <c r="CS78" i="9"/>
  <c r="CT78" i="9"/>
  <c r="CU78" i="9"/>
  <c r="CV78" i="9"/>
  <c r="CW78" i="9"/>
  <c r="CX78" i="9"/>
  <c r="CY78" i="9"/>
  <c r="CZ78" i="9"/>
  <c r="DA78" i="9"/>
  <c r="DB78" i="9"/>
  <c r="DC78" i="9"/>
  <c r="DD78" i="9"/>
  <c r="DE78" i="9"/>
  <c r="DF78" i="9"/>
  <c r="DG78" i="9"/>
  <c r="DH78" i="9"/>
  <c r="DI78" i="9"/>
  <c r="DJ78" i="9"/>
  <c r="DK78" i="9"/>
  <c r="DL78" i="9"/>
  <c r="DM78" i="9"/>
  <c r="DN78" i="9"/>
  <c r="DO78" i="9"/>
  <c r="DP78" i="9"/>
  <c r="DQ78" i="9"/>
  <c r="DR78" i="9"/>
  <c r="DS78" i="9"/>
  <c r="DT78" i="9"/>
  <c r="DU78" i="9"/>
  <c r="DV78" i="9"/>
  <c r="DW78" i="9"/>
  <c r="DX78" i="9"/>
  <c r="DY78" i="9"/>
  <c r="DZ78" i="9"/>
  <c r="EA78" i="9"/>
  <c r="EB78" i="9"/>
  <c r="EC78" i="9"/>
  <c r="ED78" i="9"/>
  <c r="EE78" i="9"/>
  <c r="EF78" i="9"/>
  <c r="EG78" i="9"/>
  <c r="EH78" i="9"/>
  <c r="EI78" i="9"/>
  <c r="EJ78" i="9"/>
  <c r="EK78" i="9"/>
  <c r="EL78" i="9"/>
  <c r="EM78" i="9"/>
  <c r="EN78" i="9"/>
  <c r="EO78" i="9"/>
  <c r="EP78" i="9"/>
  <c r="EQ78" i="9"/>
  <c r="ER78" i="9"/>
  <c r="ES78" i="9"/>
  <c r="ET78" i="9"/>
  <c r="EU78" i="9"/>
  <c r="EV78" i="9"/>
  <c r="EW78" i="9"/>
  <c r="EX78" i="9"/>
  <c r="EY78" i="9"/>
  <c r="EZ78" i="9"/>
  <c r="FA78" i="9"/>
  <c r="FB78" i="9"/>
  <c r="FC78" i="9"/>
  <c r="FD78" i="9"/>
  <c r="FE78" i="9"/>
  <c r="FF78" i="9"/>
  <c r="FG78" i="9"/>
  <c r="FH78" i="9"/>
  <c r="FI78" i="9"/>
  <c r="FJ78" i="9"/>
  <c r="FK78" i="9"/>
  <c r="FL78" i="9"/>
  <c r="FM78" i="9"/>
  <c r="FN78" i="9"/>
  <c r="FO78" i="9"/>
  <c r="FP78" i="9"/>
  <c r="FQ78" i="9"/>
  <c r="FR78" i="9"/>
  <c r="FS78" i="9"/>
  <c r="FT78" i="9"/>
  <c r="FU78" i="9"/>
  <c r="FV78" i="9"/>
  <c r="FW78" i="9"/>
  <c r="FX78" i="9"/>
  <c r="FY78" i="9"/>
  <c r="FZ78" i="9"/>
  <c r="GA78" i="9"/>
  <c r="GB78" i="9"/>
  <c r="GC78" i="9"/>
  <c r="GD78" i="9"/>
  <c r="GE78" i="9"/>
  <c r="GF78" i="9"/>
  <c r="GG78" i="9"/>
  <c r="GH78" i="9"/>
  <c r="GI78" i="9"/>
  <c r="GJ78" i="9"/>
  <c r="GK78" i="9"/>
  <c r="GL78" i="9"/>
  <c r="GM78" i="9"/>
  <c r="GN78" i="9"/>
  <c r="GO78" i="9"/>
  <c r="GP78" i="9"/>
  <c r="GQ78" i="9"/>
  <c r="GR78" i="9"/>
  <c r="GS78" i="9"/>
  <c r="GT78" i="9"/>
  <c r="GU78" i="9"/>
  <c r="GV78" i="9"/>
  <c r="GW78" i="9"/>
  <c r="GX78" i="9"/>
  <c r="GY78" i="9"/>
  <c r="GZ78" i="9"/>
  <c r="HA78" i="9"/>
  <c r="HB78" i="9"/>
  <c r="HC78" i="9"/>
  <c r="HD78" i="9"/>
  <c r="HE78" i="9"/>
  <c r="HF78" i="9"/>
  <c r="HG78" i="9"/>
  <c r="HH78" i="9"/>
  <c r="HI78" i="9"/>
  <c r="HJ78" i="9"/>
  <c r="HK78" i="9"/>
  <c r="HL78" i="9"/>
  <c r="HM78" i="9"/>
  <c r="HN78" i="9"/>
  <c r="HO78" i="9"/>
  <c r="HP78" i="9"/>
  <c r="HQ78" i="9"/>
  <c r="HR78" i="9"/>
  <c r="HS78" i="9"/>
  <c r="HT78" i="9"/>
  <c r="HU78" i="9"/>
  <c r="HV78" i="9"/>
  <c r="HW78" i="9"/>
  <c r="HX78" i="9"/>
  <c r="HY78" i="9"/>
  <c r="HZ78" i="9"/>
  <c r="IA78" i="9"/>
  <c r="IB78" i="9"/>
  <c r="IC78" i="9"/>
  <c r="ID78" i="9"/>
  <c r="IE78" i="9"/>
  <c r="IF78" i="9"/>
  <c r="IG78" i="9"/>
  <c r="IH78" i="9"/>
  <c r="II78" i="9"/>
  <c r="IJ78" i="9"/>
  <c r="IK78" i="9"/>
  <c r="IL78" i="9"/>
  <c r="IM78" i="9"/>
  <c r="IN78" i="9"/>
  <c r="IO78" i="9"/>
  <c r="IP78" i="9"/>
  <c r="IQ78" i="9"/>
  <c r="IR78" i="9"/>
  <c r="IS78" i="9"/>
  <c r="IT78" i="9"/>
  <c r="IU78" i="9"/>
  <c r="IV78" i="9"/>
  <c r="A77" i="9"/>
  <c r="B77" i="9"/>
  <c r="C77" i="9"/>
  <c r="D77" i="9"/>
  <c r="E77" i="9"/>
  <c r="F77" i="9"/>
  <c r="G77" i="9"/>
  <c r="H77" i="9"/>
  <c r="I77" i="9"/>
  <c r="J77" i="9"/>
  <c r="K77" i="9"/>
  <c r="L77" i="9"/>
  <c r="M77" i="9"/>
  <c r="N77" i="9"/>
  <c r="O77" i="9"/>
  <c r="P77" i="9"/>
  <c r="Q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AL77" i="9"/>
  <c r="AM77" i="9"/>
  <c r="AN77" i="9"/>
  <c r="AO77" i="9"/>
  <c r="AP77" i="9"/>
  <c r="AQ77" i="9"/>
  <c r="AR77" i="9"/>
  <c r="AS77" i="9"/>
  <c r="AT77" i="9"/>
  <c r="AU77" i="9"/>
  <c r="AV77" i="9"/>
  <c r="AW77" i="9"/>
  <c r="AX77" i="9"/>
  <c r="AY77" i="9"/>
  <c r="AZ77" i="9"/>
  <c r="BA77" i="9"/>
  <c r="BB77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BT77" i="9"/>
  <c r="BU77" i="9"/>
  <c r="BV77" i="9"/>
  <c r="BW77" i="9"/>
  <c r="BX77" i="9"/>
  <c r="BY77" i="9"/>
  <c r="BZ77" i="9"/>
  <c r="CA77" i="9"/>
  <c r="CB77" i="9"/>
  <c r="CC77" i="9"/>
  <c r="CD77" i="9"/>
  <c r="CE77" i="9"/>
  <c r="CF77" i="9"/>
  <c r="CG77" i="9"/>
  <c r="CH77" i="9"/>
  <c r="CI77" i="9"/>
  <c r="CJ77" i="9"/>
  <c r="CK77" i="9"/>
  <c r="CL77" i="9"/>
  <c r="CM77" i="9"/>
  <c r="CN77" i="9"/>
  <c r="CO77" i="9"/>
  <c r="CP77" i="9"/>
  <c r="CQ77" i="9"/>
  <c r="CR77" i="9"/>
  <c r="CS77" i="9"/>
  <c r="CT77" i="9"/>
  <c r="CU77" i="9"/>
  <c r="CV77" i="9"/>
  <c r="CW77" i="9"/>
  <c r="CX77" i="9"/>
  <c r="CY77" i="9"/>
  <c r="CZ77" i="9"/>
  <c r="DA77" i="9"/>
  <c r="DB77" i="9"/>
  <c r="DC77" i="9"/>
  <c r="DD77" i="9"/>
  <c r="DE77" i="9"/>
  <c r="DF77" i="9"/>
  <c r="DG77" i="9"/>
  <c r="DH77" i="9"/>
  <c r="DI77" i="9"/>
  <c r="DJ77" i="9"/>
  <c r="DK77" i="9"/>
  <c r="DL77" i="9"/>
  <c r="DM77" i="9"/>
  <c r="DN77" i="9"/>
  <c r="DO77" i="9"/>
  <c r="DP77" i="9"/>
  <c r="DQ77" i="9"/>
  <c r="DR77" i="9"/>
  <c r="DS77" i="9"/>
  <c r="DT77" i="9"/>
  <c r="DU77" i="9"/>
  <c r="DV77" i="9"/>
  <c r="DW77" i="9"/>
  <c r="DX77" i="9"/>
  <c r="DY77" i="9"/>
  <c r="DZ77" i="9"/>
  <c r="EA77" i="9"/>
  <c r="EB77" i="9"/>
  <c r="EC77" i="9"/>
  <c r="ED77" i="9"/>
  <c r="EE77" i="9"/>
  <c r="EF77" i="9"/>
  <c r="EG77" i="9"/>
  <c r="EH77" i="9"/>
  <c r="EI77" i="9"/>
  <c r="EJ77" i="9"/>
  <c r="EK77" i="9"/>
  <c r="EL77" i="9"/>
  <c r="EM77" i="9"/>
  <c r="EN77" i="9"/>
  <c r="EO77" i="9"/>
  <c r="EP77" i="9"/>
  <c r="EQ77" i="9"/>
  <c r="ER77" i="9"/>
  <c r="ES77" i="9"/>
  <c r="ET77" i="9"/>
  <c r="EU77" i="9"/>
  <c r="EV77" i="9"/>
  <c r="EW77" i="9"/>
  <c r="EX77" i="9"/>
  <c r="EY77" i="9"/>
  <c r="EZ77" i="9"/>
  <c r="FA77" i="9"/>
  <c r="FB77" i="9"/>
  <c r="FC77" i="9"/>
  <c r="FD77" i="9"/>
  <c r="FE77" i="9"/>
  <c r="FF77" i="9"/>
  <c r="FG77" i="9"/>
  <c r="FH77" i="9"/>
  <c r="FI77" i="9"/>
  <c r="FJ77" i="9"/>
  <c r="FK77" i="9"/>
  <c r="FL77" i="9"/>
  <c r="FM77" i="9"/>
  <c r="FN77" i="9"/>
  <c r="FO77" i="9"/>
  <c r="FP77" i="9"/>
  <c r="FQ77" i="9"/>
  <c r="FR77" i="9"/>
  <c r="FS77" i="9"/>
  <c r="FT77" i="9"/>
  <c r="FU77" i="9"/>
  <c r="FV77" i="9"/>
  <c r="FW77" i="9"/>
  <c r="FX77" i="9"/>
  <c r="FY77" i="9"/>
  <c r="FZ77" i="9"/>
  <c r="GA77" i="9"/>
  <c r="GB77" i="9"/>
  <c r="GC77" i="9"/>
  <c r="GD77" i="9"/>
  <c r="GE77" i="9"/>
  <c r="GF77" i="9"/>
  <c r="GG77" i="9"/>
  <c r="GH77" i="9"/>
  <c r="GI77" i="9"/>
  <c r="GJ77" i="9"/>
  <c r="GK77" i="9"/>
  <c r="GL77" i="9"/>
  <c r="GM77" i="9"/>
  <c r="GN77" i="9"/>
  <c r="GO77" i="9"/>
  <c r="GP77" i="9"/>
  <c r="GQ77" i="9"/>
  <c r="GR77" i="9"/>
  <c r="GS77" i="9"/>
  <c r="GT77" i="9"/>
  <c r="GU77" i="9"/>
  <c r="GV77" i="9"/>
  <c r="GW77" i="9"/>
  <c r="GX77" i="9"/>
  <c r="GY77" i="9"/>
  <c r="GZ77" i="9"/>
  <c r="HA77" i="9"/>
  <c r="HB77" i="9"/>
  <c r="HC77" i="9"/>
  <c r="HD77" i="9"/>
  <c r="HE77" i="9"/>
  <c r="HF77" i="9"/>
  <c r="HG77" i="9"/>
  <c r="HH77" i="9"/>
  <c r="HI77" i="9"/>
  <c r="HJ77" i="9"/>
  <c r="HK77" i="9"/>
  <c r="HL77" i="9"/>
  <c r="HM77" i="9"/>
  <c r="HN77" i="9"/>
  <c r="HO77" i="9"/>
  <c r="HP77" i="9"/>
  <c r="HQ77" i="9"/>
  <c r="HR77" i="9"/>
  <c r="HS77" i="9"/>
  <c r="HT77" i="9"/>
  <c r="HU77" i="9"/>
  <c r="HV77" i="9"/>
  <c r="HW77" i="9"/>
  <c r="HX77" i="9"/>
  <c r="HY77" i="9"/>
  <c r="HZ77" i="9"/>
  <c r="IA77" i="9"/>
  <c r="IB77" i="9"/>
  <c r="IC77" i="9"/>
  <c r="ID77" i="9"/>
  <c r="IE77" i="9"/>
  <c r="IF77" i="9"/>
  <c r="IG77" i="9"/>
  <c r="IH77" i="9"/>
  <c r="II77" i="9"/>
  <c r="IJ77" i="9"/>
  <c r="IK77" i="9"/>
  <c r="IL77" i="9"/>
  <c r="IM77" i="9"/>
  <c r="IN77" i="9"/>
  <c r="IO77" i="9"/>
  <c r="IP77" i="9"/>
  <c r="IQ77" i="9"/>
  <c r="IR77" i="9"/>
  <c r="IS77" i="9"/>
  <c r="IT77" i="9"/>
  <c r="IU77" i="9"/>
  <c r="IV77" i="9"/>
  <c r="A76" i="9"/>
  <c r="B76" i="9"/>
  <c r="C76" i="9"/>
  <c r="D76" i="9"/>
  <c r="E76" i="9"/>
  <c r="F76" i="9"/>
  <c r="G76" i="9"/>
  <c r="H76" i="9"/>
  <c r="I76" i="9"/>
  <c r="J76" i="9"/>
  <c r="K76" i="9"/>
  <c r="L76" i="9"/>
  <c r="M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AX76" i="9"/>
  <c r="AY76" i="9"/>
  <c r="AZ76" i="9"/>
  <c r="BA76" i="9"/>
  <c r="BB76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BT76" i="9"/>
  <c r="BU76" i="9"/>
  <c r="BV76" i="9"/>
  <c r="BW76" i="9"/>
  <c r="BX76" i="9"/>
  <c r="BY76" i="9"/>
  <c r="BZ76" i="9"/>
  <c r="CA76" i="9"/>
  <c r="CB76" i="9"/>
  <c r="CC76" i="9"/>
  <c r="CD76" i="9"/>
  <c r="CE76" i="9"/>
  <c r="CF76" i="9"/>
  <c r="CG76" i="9"/>
  <c r="CH76" i="9"/>
  <c r="CI76" i="9"/>
  <c r="CJ76" i="9"/>
  <c r="CK76" i="9"/>
  <c r="CL76" i="9"/>
  <c r="CM76" i="9"/>
  <c r="CN76" i="9"/>
  <c r="CO76" i="9"/>
  <c r="CP76" i="9"/>
  <c r="CQ76" i="9"/>
  <c r="CR76" i="9"/>
  <c r="CS76" i="9"/>
  <c r="CT76" i="9"/>
  <c r="CU76" i="9"/>
  <c r="CV76" i="9"/>
  <c r="CW76" i="9"/>
  <c r="CX76" i="9"/>
  <c r="CY76" i="9"/>
  <c r="CZ76" i="9"/>
  <c r="DA76" i="9"/>
  <c r="DB76" i="9"/>
  <c r="DC76" i="9"/>
  <c r="DD76" i="9"/>
  <c r="DE76" i="9"/>
  <c r="DF76" i="9"/>
  <c r="DG76" i="9"/>
  <c r="DH76" i="9"/>
  <c r="DI76" i="9"/>
  <c r="DJ76" i="9"/>
  <c r="DK76" i="9"/>
  <c r="DL76" i="9"/>
  <c r="DM76" i="9"/>
  <c r="DN76" i="9"/>
  <c r="DO76" i="9"/>
  <c r="DP76" i="9"/>
  <c r="DQ76" i="9"/>
  <c r="DR76" i="9"/>
  <c r="DS76" i="9"/>
  <c r="DT76" i="9"/>
  <c r="DU76" i="9"/>
  <c r="DV76" i="9"/>
  <c r="DW76" i="9"/>
  <c r="DX76" i="9"/>
  <c r="DY76" i="9"/>
  <c r="DZ76" i="9"/>
  <c r="EA76" i="9"/>
  <c r="EB76" i="9"/>
  <c r="EC76" i="9"/>
  <c r="ED76" i="9"/>
  <c r="EE76" i="9"/>
  <c r="EF76" i="9"/>
  <c r="EG76" i="9"/>
  <c r="EH76" i="9"/>
  <c r="EI76" i="9"/>
  <c r="EJ76" i="9"/>
  <c r="EK76" i="9"/>
  <c r="EL76" i="9"/>
  <c r="EM76" i="9"/>
  <c r="EN76" i="9"/>
  <c r="EO76" i="9"/>
  <c r="EP76" i="9"/>
  <c r="EQ76" i="9"/>
  <c r="ER76" i="9"/>
  <c r="ES76" i="9"/>
  <c r="ET76" i="9"/>
  <c r="EU76" i="9"/>
  <c r="EV76" i="9"/>
  <c r="EW76" i="9"/>
  <c r="EX76" i="9"/>
  <c r="EY76" i="9"/>
  <c r="EZ76" i="9"/>
  <c r="FA76" i="9"/>
  <c r="FB76" i="9"/>
  <c r="FC76" i="9"/>
  <c r="FD76" i="9"/>
  <c r="FE76" i="9"/>
  <c r="FF76" i="9"/>
  <c r="FG76" i="9"/>
  <c r="FH76" i="9"/>
  <c r="FI76" i="9"/>
  <c r="FJ76" i="9"/>
  <c r="FK76" i="9"/>
  <c r="FL76" i="9"/>
  <c r="FM76" i="9"/>
  <c r="FN76" i="9"/>
  <c r="FO76" i="9"/>
  <c r="FP76" i="9"/>
  <c r="FQ76" i="9"/>
  <c r="FR76" i="9"/>
  <c r="FS76" i="9"/>
  <c r="FT76" i="9"/>
  <c r="FU76" i="9"/>
  <c r="FV76" i="9"/>
  <c r="FW76" i="9"/>
  <c r="FX76" i="9"/>
  <c r="FY76" i="9"/>
  <c r="FZ76" i="9"/>
  <c r="GA76" i="9"/>
  <c r="GB76" i="9"/>
  <c r="GC76" i="9"/>
  <c r="GD76" i="9"/>
  <c r="GE76" i="9"/>
  <c r="GF76" i="9"/>
  <c r="GG76" i="9"/>
  <c r="GH76" i="9"/>
  <c r="GI76" i="9"/>
  <c r="GJ76" i="9"/>
  <c r="GK76" i="9"/>
  <c r="GL76" i="9"/>
  <c r="GM76" i="9"/>
  <c r="GN76" i="9"/>
  <c r="GO76" i="9"/>
  <c r="GP76" i="9"/>
  <c r="GQ76" i="9"/>
  <c r="GR76" i="9"/>
  <c r="GS76" i="9"/>
  <c r="GT76" i="9"/>
  <c r="GU76" i="9"/>
  <c r="GV76" i="9"/>
  <c r="GW76" i="9"/>
  <c r="GX76" i="9"/>
  <c r="GY76" i="9"/>
  <c r="GZ76" i="9"/>
  <c r="HA76" i="9"/>
  <c r="HB76" i="9"/>
  <c r="HC76" i="9"/>
  <c r="HD76" i="9"/>
  <c r="HE76" i="9"/>
  <c r="HF76" i="9"/>
  <c r="HG76" i="9"/>
  <c r="HH76" i="9"/>
  <c r="HI76" i="9"/>
  <c r="HJ76" i="9"/>
  <c r="HK76" i="9"/>
  <c r="HL76" i="9"/>
  <c r="HM76" i="9"/>
  <c r="HN76" i="9"/>
  <c r="HO76" i="9"/>
  <c r="HP76" i="9"/>
  <c r="HQ76" i="9"/>
  <c r="HR76" i="9"/>
  <c r="HS76" i="9"/>
  <c r="HT76" i="9"/>
  <c r="HU76" i="9"/>
  <c r="HV76" i="9"/>
  <c r="HW76" i="9"/>
  <c r="HX76" i="9"/>
  <c r="HY76" i="9"/>
  <c r="HZ76" i="9"/>
  <c r="IA76" i="9"/>
  <c r="IB76" i="9"/>
  <c r="IC76" i="9"/>
  <c r="ID76" i="9"/>
  <c r="IE76" i="9"/>
  <c r="IF76" i="9"/>
  <c r="IG76" i="9"/>
  <c r="IH76" i="9"/>
  <c r="II76" i="9"/>
  <c r="IJ76" i="9"/>
  <c r="IK76" i="9"/>
  <c r="IL76" i="9"/>
  <c r="IM76" i="9"/>
  <c r="IN76" i="9"/>
  <c r="IO76" i="9"/>
  <c r="IP76" i="9"/>
  <c r="IQ76" i="9"/>
  <c r="IR76" i="9"/>
  <c r="IS76" i="9"/>
  <c r="IT76" i="9"/>
  <c r="IU76" i="9"/>
  <c r="IV76" i="9"/>
  <c r="A75" i="9"/>
  <c r="B75" i="9"/>
  <c r="C75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AL75" i="9"/>
  <c r="AM75" i="9"/>
  <c r="AN75" i="9"/>
  <c r="AO75" i="9"/>
  <c r="AP75" i="9"/>
  <c r="AQ75" i="9"/>
  <c r="AR75" i="9"/>
  <c r="AS75" i="9"/>
  <c r="AT75" i="9"/>
  <c r="AU75" i="9"/>
  <c r="AV75" i="9"/>
  <c r="AW75" i="9"/>
  <c r="AX75" i="9"/>
  <c r="AY75" i="9"/>
  <c r="AZ75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CA75" i="9"/>
  <c r="CB75" i="9"/>
  <c r="CC75" i="9"/>
  <c r="CD75" i="9"/>
  <c r="CE75" i="9"/>
  <c r="CF75" i="9"/>
  <c r="CG75" i="9"/>
  <c r="CH75" i="9"/>
  <c r="CI75" i="9"/>
  <c r="CJ75" i="9"/>
  <c r="CK75" i="9"/>
  <c r="CL75" i="9"/>
  <c r="CM75" i="9"/>
  <c r="CN75" i="9"/>
  <c r="CO75" i="9"/>
  <c r="CP75" i="9"/>
  <c r="CQ75" i="9"/>
  <c r="CR75" i="9"/>
  <c r="CS75" i="9"/>
  <c r="CT75" i="9"/>
  <c r="CU75" i="9"/>
  <c r="CV75" i="9"/>
  <c r="CW75" i="9"/>
  <c r="CX75" i="9"/>
  <c r="CY75" i="9"/>
  <c r="CZ75" i="9"/>
  <c r="DA75" i="9"/>
  <c r="DB75" i="9"/>
  <c r="DC75" i="9"/>
  <c r="DD75" i="9"/>
  <c r="DE75" i="9"/>
  <c r="DF75" i="9"/>
  <c r="DG75" i="9"/>
  <c r="DH75" i="9"/>
  <c r="DI75" i="9"/>
  <c r="DJ75" i="9"/>
  <c r="DK75" i="9"/>
  <c r="DL75" i="9"/>
  <c r="DM75" i="9"/>
  <c r="DN75" i="9"/>
  <c r="DO75" i="9"/>
  <c r="DP75" i="9"/>
  <c r="DQ75" i="9"/>
  <c r="DR75" i="9"/>
  <c r="DS75" i="9"/>
  <c r="DT75" i="9"/>
  <c r="DU75" i="9"/>
  <c r="DV75" i="9"/>
  <c r="DW75" i="9"/>
  <c r="DX75" i="9"/>
  <c r="DY75" i="9"/>
  <c r="DZ75" i="9"/>
  <c r="EA75" i="9"/>
  <c r="EB75" i="9"/>
  <c r="EC75" i="9"/>
  <c r="ED75" i="9"/>
  <c r="EE75" i="9"/>
  <c r="EF75" i="9"/>
  <c r="EG75" i="9"/>
  <c r="EH75" i="9"/>
  <c r="EI75" i="9"/>
  <c r="EJ75" i="9"/>
  <c r="EK75" i="9"/>
  <c r="EL75" i="9"/>
  <c r="EM75" i="9"/>
  <c r="EN75" i="9"/>
  <c r="EO75" i="9"/>
  <c r="EP75" i="9"/>
  <c r="EQ75" i="9"/>
  <c r="ER75" i="9"/>
  <c r="ES75" i="9"/>
  <c r="ET75" i="9"/>
  <c r="EU75" i="9"/>
  <c r="EV75" i="9"/>
  <c r="EW75" i="9"/>
  <c r="EX75" i="9"/>
  <c r="EY75" i="9"/>
  <c r="EZ75" i="9"/>
  <c r="FA75" i="9"/>
  <c r="FB75" i="9"/>
  <c r="FC75" i="9"/>
  <c r="FD75" i="9"/>
  <c r="FE75" i="9"/>
  <c r="FF75" i="9"/>
  <c r="FG75" i="9"/>
  <c r="FH75" i="9"/>
  <c r="FI75" i="9"/>
  <c r="FJ75" i="9"/>
  <c r="FK75" i="9"/>
  <c r="FL75" i="9"/>
  <c r="FM75" i="9"/>
  <c r="FN75" i="9"/>
  <c r="FO75" i="9"/>
  <c r="FP75" i="9"/>
  <c r="FQ75" i="9"/>
  <c r="FR75" i="9"/>
  <c r="FS75" i="9"/>
  <c r="FT75" i="9"/>
  <c r="FU75" i="9"/>
  <c r="FV75" i="9"/>
  <c r="FW75" i="9"/>
  <c r="FX75" i="9"/>
  <c r="FY75" i="9"/>
  <c r="FZ75" i="9"/>
  <c r="GA75" i="9"/>
  <c r="GB75" i="9"/>
  <c r="GC75" i="9"/>
  <c r="GD75" i="9"/>
  <c r="GE75" i="9"/>
  <c r="GF75" i="9"/>
  <c r="GG75" i="9"/>
  <c r="GH75" i="9"/>
  <c r="GI75" i="9"/>
  <c r="GJ75" i="9"/>
  <c r="GK75" i="9"/>
  <c r="GL75" i="9"/>
  <c r="GM75" i="9"/>
  <c r="GN75" i="9"/>
  <c r="GO75" i="9"/>
  <c r="GP75" i="9"/>
  <c r="GQ75" i="9"/>
  <c r="GR75" i="9"/>
  <c r="GS75" i="9"/>
  <c r="GT75" i="9"/>
  <c r="GU75" i="9"/>
  <c r="GV75" i="9"/>
  <c r="GW75" i="9"/>
  <c r="GX75" i="9"/>
  <c r="GY75" i="9"/>
  <c r="GZ75" i="9"/>
  <c r="HA75" i="9"/>
  <c r="HB75" i="9"/>
  <c r="HC75" i="9"/>
  <c r="HD75" i="9"/>
  <c r="HE75" i="9"/>
  <c r="HF75" i="9"/>
  <c r="HG75" i="9"/>
  <c r="HH75" i="9"/>
  <c r="HI75" i="9"/>
  <c r="HJ75" i="9"/>
  <c r="HK75" i="9"/>
  <c r="HL75" i="9"/>
  <c r="HM75" i="9"/>
  <c r="HN75" i="9"/>
  <c r="HO75" i="9"/>
  <c r="HP75" i="9"/>
  <c r="HQ75" i="9"/>
  <c r="HR75" i="9"/>
  <c r="HS75" i="9"/>
  <c r="HT75" i="9"/>
  <c r="HU75" i="9"/>
  <c r="HV75" i="9"/>
  <c r="HW75" i="9"/>
  <c r="HX75" i="9"/>
  <c r="HY75" i="9"/>
  <c r="HZ75" i="9"/>
  <c r="IA75" i="9"/>
  <c r="IB75" i="9"/>
  <c r="IC75" i="9"/>
  <c r="ID75" i="9"/>
  <c r="IE75" i="9"/>
  <c r="IF75" i="9"/>
  <c r="IG75" i="9"/>
  <c r="IH75" i="9"/>
  <c r="II75" i="9"/>
  <c r="IJ75" i="9"/>
  <c r="IK75" i="9"/>
  <c r="IL75" i="9"/>
  <c r="IM75" i="9"/>
  <c r="IN75" i="9"/>
  <c r="IO75" i="9"/>
  <c r="IP75" i="9"/>
  <c r="IQ75" i="9"/>
  <c r="IR75" i="9"/>
  <c r="IS75" i="9"/>
  <c r="IT75" i="9"/>
  <c r="IU75" i="9"/>
  <c r="IV75" i="9"/>
  <c r="A74" i="9"/>
  <c r="B74" i="9"/>
  <c r="C74" i="9"/>
  <c r="D74" i="9"/>
  <c r="E74" i="9"/>
  <c r="F74" i="9"/>
  <c r="G74" i="9"/>
  <c r="H74" i="9"/>
  <c r="I74" i="9"/>
  <c r="J74" i="9"/>
  <c r="K74" i="9"/>
  <c r="L74" i="9"/>
  <c r="M74" i="9"/>
  <c r="N74" i="9"/>
  <c r="O74" i="9"/>
  <c r="P74" i="9"/>
  <c r="Q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AL74" i="9"/>
  <c r="AM74" i="9"/>
  <c r="AN74" i="9"/>
  <c r="AO74" i="9"/>
  <c r="AP74" i="9"/>
  <c r="AQ74" i="9"/>
  <c r="AR74" i="9"/>
  <c r="AS74" i="9"/>
  <c r="AT74" i="9"/>
  <c r="AU74" i="9"/>
  <c r="AV74" i="9"/>
  <c r="AW74" i="9"/>
  <c r="AX74" i="9"/>
  <c r="AY74" i="9"/>
  <c r="AZ74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BZ74" i="9"/>
  <c r="CA74" i="9"/>
  <c r="CB74" i="9"/>
  <c r="CC74" i="9"/>
  <c r="CD74" i="9"/>
  <c r="CE74" i="9"/>
  <c r="CF74" i="9"/>
  <c r="CG74" i="9"/>
  <c r="CH74" i="9"/>
  <c r="CI74" i="9"/>
  <c r="CJ74" i="9"/>
  <c r="CK74" i="9"/>
  <c r="CL74" i="9"/>
  <c r="CM74" i="9"/>
  <c r="CN74" i="9"/>
  <c r="CO74" i="9"/>
  <c r="CP74" i="9"/>
  <c r="CQ74" i="9"/>
  <c r="CR74" i="9"/>
  <c r="CS74" i="9"/>
  <c r="CT74" i="9"/>
  <c r="CU74" i="9"/>
  <c r="CV74" i="9"/>
  <c r="CW74" i="9"/>
  <c r="CX74" i="9"/>
  <c r="CY74" i="9"/>
  <c r="CZ74" i="9"/>
  <c r="DA74" i="9"/>
  <c r="DB74" i="9"/>
  <c r="DC74" i="9"/>
  <c r="DD74" i="9"/>
  <c r="DE74" i="9"/>
  <c r="DF74" i="9"/>
  <c r="DG74" i="9"/>
  <c r="DH74" i="9"/>
  <c r="DI74" i="9"/>
  <c r="DJ74" i="9"/>
  <c r="DK74" i="9"/>
  <c r="DL74" i="9"/>
  <c r="DM74" i="9"/>
  <c r="DN74" i="9"/>
  <c r="DO74" i="9"/>
  <c r="DP74" i="9"/>
  <c r="DQ74" i="9"/>
  <c r="DR74" i="9"/>
  <c r="DS74" i="9"/>
  <c r="DT74" i="9"/>
  <c r="DU74" i="9"/>
  <c r="DV74" i="9"/>
  <c r="DW74" i="9"/>
  <c r="DX74" i="9"/>
  <c r="DY74" i="9"/>
  <c r="DZ74" i="9"/>
  <c r="EA74" i="9"/>
  <c r="EB74" i="9"/>
  <c r="EC74" i="9"/>
  <c r="ED74" i="9"/>
  <c r="EE74" i="9"/>
  <c r="EF74" i="9"/>
  <c r="EG74" i="9"/>
  <c r="EH74" i="9"/>
  <c r="EI74" i="9"/>
  <c r="EJ74" i="9"/>
  <c r="EK74" i="9"/>
  <c r="EL74" i="9"/>
  <c r="EM74" i="9"/>
  <c r="EN74" i="9"/>
  <c r="EO74" i="9"/>
  <c r="EP74" i="9"/>
  <c r="EQ74" i="9"/>
  <c r="ER74" i="9"/>
  <c r="ES74" i="9"/>
  <c r="ET74" i="9"/>
  <c r="EU74" i="9"/>
  <c r="EV74" i="9"/>
  <c r="EW74" i="9"/>
  <c r="EX74" i="9"/>
  <c r="EY74" i="9"/>
  <c r="EZ74" i="9"/>
  <c r="FA74" i="9"/>
  <c r="FB74" i="9"/>
  <c r="FC74" i="9"/>
  <c r="FD74" i="9"/>
  <c r="FE74" i="9"/>
  <c r="FF74" i="9"/>
  <c r="FG74" i="9"/>
  <c r="FH74" i="9"/>
  <c r="FI74" i="9"/>
  <c r="FJ74" i="9"/>
  <c r="FK74" i="9"/>
  <c r="FL74" i="9"/>
  <c r="FM74" i="9"/>
  <c r="FN74" i="9"/>
  <c r="FO74" i="9"/>
  <c r="FP74" i="9"/>
  <c r="FQ74" i="9"/>
  <c r="FR74" i="9"/>
  <c r="FS74" i="9"/>
  <c r="FT74" i="9"/>
  <c r="FU74" i="9"/>
  <c r="FV74" i="9"/>
  <c r="FW74" i="9"/>
  <c r="FX74" i="9"/>
  <c r="FY74" i="9"/>
  <c r="FZ74" i="9"/>
  <c r="GA74" i="9"/>
  <c r="GB74" i="9"/>
  <c r="GC74" i="9"/>
  <c r="GD74" i="9"/>
  <c r="GE74" i="9"/>
  <c r="GF74" i="9"/>
  <c r="GG74" i="9"/>
  <c r="GH74" i="9"/>
  <c r="GI74" i="9"/>
  <c r="GJ74" i="9"/>
  <c r="GK74" i="9"/>
  <c r="GL74" i="9"/>
  <c r="GM74" i="9"/>
  <c r="GN74" i="9"/>
  <c r="GO74" i="9"/>
  <c r="GP74" i="9"/>
  <c r="GQ74" i="9"/>
  <c r="GR74" i="9"/>
  <c r="GS74" i="9"/>
  <c r="GT74" i="9"/>
  <c r="GU74" i="9"/>
  <c r="GV74" i="9"/>
  <c r="GW74" i="9"/>
  <c r="GX74" i="9"/>
  <c r="GY74" i="9"/>
  <c r="GZ74" i="9"/>
  <c r="HA74" i="9"/>
  <c r="HB74" i="9"/>
  <c r="HC74" i="9"/>
  <c r="HD74" i="9"/>
  <c r="HE74" i="9"/>
  <c r="HF74" i="9"/>
  <c r="HG74" i="9"/>
  <c r="HH74" i="9"/>
  <c r="HI74" i="9"/>
  <c r="HJ74" i="9"/>
  <c r="HK74" i="9"/>
  <c r="HL74" i="9"/>
  <c r="HM74" i="9"/>
  <c r="HN74" i="9"/>
  <c r="HO74" i="9"/>
  <c r="HP74" i="9"/>
  <c r="HQ74" i="9"/>
  <c r="HR74" i="9"/>
  <c r="HS74" i="9"/>
  <c r="HT74" i="9"/>
  <c r="HU74" i="9"/>
  <c r="HV74" i="9"/>
  <c r="HW74" i="9"/>
  <c r="HX74" i="9"/>
  <c r="HY74" i="9"/>
  <c r="HZ74" i="9"/>
  <c r="IA74" i="9"/>
  <c r="IB74" i="9"/>
  <c r="IC74" i="9"/>
  <c r="ID74" i="9"/>
  <c r="IE74" i="9"/>
  <c r="IF74" i="9"/>
  <c r="IG74" i="9"/>
  <c r="IH74" i="9"/>
  <c r="II74" i="9"/>
  <c r="IJ74" i="9"/>
  <c r="IK74" i="9"/>
  <c r="IL74" i="9"/>
  <c r="IM74" i="9"/>
  <c r="IN74" i="9"/>
  <c r="IO74" i="9"/>
  <c r="IP74" i="9"/>
  <c r="IQ74" i="9"/>
  <c r="IR74" i="9"/>
  <c r="IS74" i="9"/>
  <c r="IT74" i="9"/>
  <c r="IU74" i="9"/>
  <c r="IV74" i="9"/>
  <c r="A73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EE73" i="9"/>
  <c r="EF73" i="9"/>
  <c r="EG73" i="9"/>
  <c r="EH73" i="9"/>
  <c r="EI73" i="9"/>
  <c r="EJ73" i="9"/>
  <c r="EK73" i="9"/>
  <c r="EL73" i="9"/>
  <c r="EM73" i="9"/>
  <c r="EN73" i="9"/>
  <c r="EO73" i="9"/>
  <c r="EP73" i="9"/>
  <c r="EQ73" i="9"/>
  <c r="ER73" i="9"/>
  <c r="ES73" i="9"/>
  <c r="ET73" i="9"/>
  <c r="EU73" i="9"/>
  <c r="EV73" i="9"/>
  <c r="EW73" i="9"/>
  <c r="EX73" i="9"/>
  <c r="EY73" i="9"/>
  <c r="EZ73" i="9"/>
  <c r="FA73" i="9"/>
  <c r="FB73" i="9"/>
  <c r="FC73" i="9"/>
  <c r="FD73" i="9"/>
  <c r="FE73" i="9"/>
  <c r="FF73" i="9"/>
  <c r="FG73" i="9"/>
  <c r="FH73" i="9"/>
  <c r="FI73" i="9"/>
  <c r="FJ73" i="9"/>
  <c r="FK73" i="9"/>
  <c r="FL73" i="9"/>
  <c r="FM73" i="9"/>
  <c r="FN73" i="9"/>
  <c r="FO73" i="9"/>
  <c r="FP73" i="9"/>
  <c r="FQ73" i="9"/>
  <c r="FR73" i="9"/>
  <c r="FS73" i="9"/>
  <c r="FT73" i="9"/>
  <c r="FU73" i="9"/>
  <c r="FV73" i="9"/>
  <c r="FW73" i="9"/>
  <c r="FX73" i="9"/>
  <c r="FY73" i="9"/>
  <c r="FZ73" i="9"/>
  <c r="GA73" i="9"/>
  <c r="GB73" i="9"/>
  <c r="GC73" i="9"/>
  <c r="GD73" i="9"/>
  <c r="GE73" i="9"/>
  <c r="GF73" i="9"/>
  <c r="GG73" i="9"/>
  <c r="GH73" i="9"/>
  <c r="GI73" i="9"/>
  <c r="GJ73" i="9"/>
  <c r="GK73" i="9"/>
  <c r="GL73" i="9"/>
  <c r="GM73" i="9"/>
  <c r="GN73" i="9"/>
  <c r="GO73" i="9"/>
  <c r="GP73" i="9"/>
  <c r="GQ73" i="9"/>
  <c r="GR73" i="9"/>
  <c r="GS73" i="9"/>
  <c r="GT73" i="9"/>
  <c r="GU73" i="9"/>
  <c r="GV73" i="9"/>
  <c r="GW73" i="9"/>
  <c r="GX73" i="9"/>
  <c r="GY73" i="9"/>
  <c r="GZ73" i="9"/>
  <c r="HA73" i="9"/>
  <c r="HB73" i="9"/>
  <c r="HC73" i="9"/>
  <c r="HD73" i="9"/>
  <c r="HE73" i="9"/>
  <c r="HF73" i="9"/>
  <c r="HG73" i="9"/>
  <c r="HH73" i="9"/>
  <c r="HI73" i="9"/>
  <c r="HJ73" i="9"/>
  <c r="HK73" i="9"/>
  <c r="HL73" i="9"/>
  <c r="HM73" i="9"/>
  <c r="HN73" i="9"/>
  <c r="HO73" i="9"/>
  <c r="HP73" i="9"/>
  <c r="HQ73" i="9"/>
  <c r="HR73" i="9"/>
  <c r="HS73" i="9"/>
  <c r="HT73" i="9"/>
  <c r="HU73" i="9"/>
  <c r="HV73" i="9"/>
  <c r="HW73" i="9"/>
  <c r="HX73" i="9"/>
  <c r="HY73" i="9"/>
  <c r="HZ73" i="9"/>
  <c r="IA73" i="9"/>
  <c r="IB73" i="9"/>
  <c r="IC73" i="9"/>
  <c r="ID73" i="9"/>
  <c r="IE73" i="9"/>
  <c r="IF73" i="9"/>
  <c r="IG73" i="9"/>
  <c r="IH73" i="9"/>
  <c r="II73" i="9"/>
  <c r="IJ73" i="9"/>
  <c r="IK73" i="9"/>
  <c r="IL73" i="9"/>
  <c r="IM73" i="9"/>
  <c r="IN73" i="9"/>
  <c r="IO73" i="9"/>
  <c r="IP73" i="9"/>
  <c r="IQ73" i="9"/>
  <c r="IR73" i="9"/>
  <c r="IS73" i="9"/>
  <c r="IT73" i="9"/>
  <c r="IU73" i="9"/>
  <c r="IV73" i="9"/>
  <c r="A72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BX72" i="9"/>
  <c r="BY72" i="9"/>
  <c r="BZ72" i="9"/>
  <c r="CA72" i="9"/>
  <c r="CB72" i="9"/>
  <c r="CC72" i="9"/>
  <c r="CD72" i="9"/>
  <c r="CE72" i="9"/>
  <c r="CF72" i="9"/>
  <c r="CG72" i="9"/>
  <c r="CH72" i="9"/>
  <c r="CI72" i="9"/>
  <c r="CJ72" i="9"/>
  <c r="CK72" i="9"/>
  <c r="CL72" i="9"/>
  <c r="CM72" i="9"/>
  <c r="CN72" i="9"/>
  <c r="CO72" i="9"/>
  <c r="CP72" i="9"/>
  <c r="CQ72" i="9"/>
  <c r="CR72" i="9"/>
  <c r="CS72" i="9"/>
  <c r="CT72" i="9"/>
  <c r="CU72" i="9"/>
  <c r="CV72" i="9"/>
  <c r="CW72" i="9"/>
  <c r="CX72" i="9"/>
  <c r="CY72" i="9"/>
  <c r="CZ72" i="9"/>
  <c r="DA72" i="9"/>
  <c r="DB72" i="9"/>
  <c r="DC72" i="9"/>
  <c r="DD72" i="9"/>
  <c r="DE72" i="9"/>
  <c r="DF72" i="9"/>
  <c r="DG72" i="9"/>
  <c r="DH72" i="9"/>
  <c r="DI72" i="9"/>
  <c r="DJ72" i="9"/>
  <c r="DK72" i="9"/>
  <c r="DL72" i="9"/>
  <c r="DM72" i="9"/>
  <c r="DN72" i="9"/>
  <c r="DO72" i="9"/>
  <c r="DP72" i="9"/>
  <c r="DQ72" i="9"/>
  <c r="DR72" i="9"/>
  <c r="DS72" i="9"/>
  <c r="DT72" i="9"/>
  <c r="DU72" i="9"/>
  <c r="DV72" i="9"/>
  <c r="DW72" i="9"/>
  <c r="DX72" i="9"/>
  <c r="DY72" i="9"/>
  <c r="DZ72" i="9"/>
  <c r="EA72" i="9"/>
  <c r="EB72" i="9"/>
  <c r="EC72" i="9"/>
  <c r="ED72" i="9"/>
  <c r="EE72" i="9"/>
  <c r="EF72" i="9"/>
  <c r="EG72" i="9"/>
  <c r="EH72" i="9"/>
  <c r="EI72" i="9"/>
  <c r="EJ72" i="9"/>
  <c r="EK72" i="9"/>
  <c r="EL72" i="9"/>
  <c r="EM72" i="9"/>
  <c r="EN72" i="9"/>
  <c r="EO72" i="9"/>
  <c r="EP72" i="9"/>
  <c r="EQ72" i="9"/>
  <c r="ER72" i="9"/>
  <c r="ES72" i="9"/>
  <c r="ET72" i="9"/>
  <c r="EU72" i="9"/>
  <c r="EV72" i="9"/>
  <c r="EW72" i="9"/>
  <c r="EX72" i="9"/>
  <c r="EY72" i="9"/>
  <c r="EZ72" i="9"/>
  <c r="FA72" i="9"/>
  <c r="FB72" i="9"/>
  <c r="FC72" i="9"/>
  <c r="FD72" i="9"/>
  <c r="FE72" i="9"/>
  <c r="FF72" i="9"/>
  <c r="FG72" i="9"/>
  <c r="FH72" i="9"/>
  <c r="FI72" i="9"/>
  <c r="FJ72" i="9"/>
  <c r="FK72" i="9"/>
  <c r="FL72" i="9"/>
  <c r="FM72" i="9"/>
  <c r="FN72" i="9"/>
  <c r="FO72" i="9"/>
  <c r="FP72" i="9"/>
  <c r="FQ72" i="9"/>
  <c r="FR72" i="9"/>
  <c r="FS72" i="9"/>
  <c r="FT72" i="9"/>
  <c r="FU72" i="9"/>
  <c r="FV72" i="9"/>
  <c r="FW72" i="9"/>
  <c r="FX72" i="9"/>
  <c r="FY72" i="9"/>
  <c r="FZ72" i="9"/>
  <c r="GA72" i="9"/>
  <c r="GB72" i="9"/>
  <c r="GC72" i="9"/>
  <c r="GD72" i="9"/>
  <c r="GE72" i="9"/>
  <c r="GF72" i="9"/>
  <c r="GG72" i="9"/>
  <c r="GH72" i="9"/>
  <c r="GI72" i="9"/>
  <c r="GJ72" i="9"/>
  <c r="GK72" i="9"/>
  <c r="GL72" i="9"/>
  <c r="GM72" i="9"/>
  <c r="GN72" i="9"/>
  <c r="GO72" i="9"/>
  <c r="GP72" i="9"/>
  <c r="GQ72" i="9"/>
  <c r="GR72" i="9"/>
  <c r="GS72" i="9"/>
  <c r="GT72" i="9"/>
  <c r="GU72" i="9"/>
  <c r="GV72" i="9"/>
  <c r="GW72" i="9"/>
  <c r="GX72" i="9"/>
  <c r="GY72" i="9"/>
  <c r="GZ72" i="9"/>
  <c r="HA72" i="9"/>
  <c r="HB72" i="9"/>
  <c r="HC72" i="9"/>
  <c r="HD72" i="9"/>
  <c r="HE72" i="9"/>
  <c r="HF72" i="9"/>
  <c r="HG72" i="9"/>
  <c r="HH72" i="9"/>
  <c r="HI72" i="9"/>
  <c r="HJ72" i="9"/>
  <c r="HK72" i="9"/>
  <c r="HL72" i="9"/>
  <c r="HM72" i="9"/>
  <c r="HN72" i="9"/>
  <c r="HO72" i="9"/>
  <c r="HP72" i="9"/>
  <c r="HQ72" i="9"/>
  <c r="HR72" i="9"/>
  <c r="HS72" i="9"/>
  <c r="HT72" i="9"/>
  <c r="HU72" i="9"/>
  <c r="HV72" i="9"/>
  <c r="HW72" i="9"/>
  <c r="HX72" i="9"/>
  <c r="HY72" i="9"/>
  <c r="HZ72" i="9"/>
  <c r="IA72" i="9"/>
  <c r="IB72" i="9"/>
  <c r="IC72" i="9"/>
  <c r="ID72" i="9"/>
  <c r="IE72" i="9"/>
  <c r="IF72" i="9"/>
  <c r="IG72" i="9"/>
  <c r="IH72" i="9"/>
  <c r="II72" i="9"/>
  <c r="IJ72" i="9"/>
  <c r="IK72" i="9"/>
  <c r="IL72" i="9"/>
  <c r="IM72" i="9"/>
  <c r="IN72" i="9"/>
  <c r="IO72" i="9"/>
  <c r="IP72" i="9"/>
  <c r="IQ72" i="9"/>
  <c r="IR72" i="9"/>
  <c r="IS72" i="9"/>
  <c r="IT72" i="9"/>
  <c r="IU72" i="9"/>
  <c r="IV72" i="9"/>
  <c r="A71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U71" i="9"/>
  <c r="AV71" i="9"/>
  <c r="AW71" i="9"/>
  <c r="AX71" i="9"/>
  <c r="AY71" i="9"/>
  <c r="AZ71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BW71" i="9"/>
  <c r="BX71" i="9"/>
  <c r="BY71" i="9"/>
  <c r="BZ71" i="9"/>
  <c r="CA71" i="9"/>
  <c r="CB71" i="9"/>
  <c r="CC71" i="9"/>
  <c r="CD71" i="9"/>
  <c r="CE71" i="9"/>
  <c r="CF71" i="9"/>
  <c r="CG71" i="9"/>
  <c r="CH71" i="9"/>
  <c r="CI71" i="9"/>
  <c r="CJ71" i="9"/>
  <c r="CK71" i="9"/>
  <c r="CL71" i="9"/>
  <c r="CM71" i="9"/>
  <c r="CN71" i="9"/>
  <c r="CO71" i="9"/>
  <c r="CP71" i="9"/>
  <c r="CQ71" i="9"/>
  <c r="CR71" i="9"/>
  <c r="CS71" i="9"/>
  <c r="CT71" i="9"/>
  <c r="CU71" i="9"/>
  <c r="CV71" i="9"/>
  <c r="CW71" i="9"/>
  <c r="CX71" i="9"/>
  <c r="CY71" i="9"/>
  <c r="CZ71" i="9"/>
  <c r="DA71" i="9"/>
  <c r="DB71" i="9"/>
  <c r="DC71" i="9"/>
  <c r="DD71" i="9"/>
  <c r="DE71" i="9"/>
  <c r="DF71" i="9"/>
  <c r="DG71" i="9"/>
  <c r="DH71" i="9"/>
  <c r="DI71" i="9"/>
  <c r="DJ71" i="9"/>
  <c r="DK71" i="9"/>
  <c r="DL71" i="9"/>
  <c r="DM71" i="9"/>
  <c r="DN71" i="9"/>
  <c r="DO71" i="9"/>
  <c r="DP71" i="9"/>
  <c r="DQ71" i="9"/>
  <c r="DR71" i="9"/>
  <c r="DS71" i="9"/>
  <c r="DT71" i="9"/>
  <c r="DU71" i="9"/>
  <c r="DV71" i="9"/>
  <c r="DW71" i="9"/>
  <c r="DX71" i="9"/>
  <c r="DY71" i="9"/>
  <c r="DZ71" i="9"/>
  <c r="EA71" i="9"/>
  <c r="EB71" i="9"/>
  <c r="EC71" i="9"/>
  <c r="ED71" i="9"/>
  <c r="EE71" i="9"/>
  <c r="EF71" i="9"/>
  <c r="EG71" i="9"/>
  <c r="EH71" i="9"/>
  <c r="EI71" i="9"/>
  <c r="EJ71" i="9"/>
  <c r="EK71" i="9"/>
  <c r="EL71" i="9"/>
  <c r="EM71" i="9"/>
  <c r="EN71" i="9"/>
  <c r="EO71" i="9"/>
  <c r="EP71" i="9"/>
  <c r="EQ71" i="9"/>
  <c r="ER71" i="9"/>
  <c r="ES71" i="9"/>
  <c r="ET71" i="9"/>
  <c r="EU71" i="9"/>
  <c r="EV71" i="9"/>
  <c r="EW71" i="9"/>
  <c r="EX71" i="9"/>
  <c r="EY71" i="9"/>
  <c r="EZ71" i="9"/>
  <c r="FA71" i="9"/>
  <c r="FB71" i="9"/>
  <c r="FC71" i="9"/>
  <c r="FD71" i="9"/>
  <c r="FE71" i="9"/>
  <c r="FF71" i="9"/>
  <c r="FG71" i="9"/>
  <c r="FH71" i="9"/>
  <c r="FI71" i="9"/>
  <c r="FJ71" i="9"/>
  <c r="FK71" i="9"/>
  <c r="FL71" i="9"/>
  <c r="FM71" i="9"/>
  <c r="FN71" i="9"/>
  <c r="FO71" i="9"/>
  <c r="FP71" i="9"/>
  <c r="FQ71" i="9"/>
  <c r="FR71" i="9"/>
  <c r="FS71" i="9"/>
  <c r="FT71" i="9"/>
  <c r="FU71" i="9"/>
  <c r="FV71" i="9"/>
  <c r="FW71" i="9"/>
  <c r="FX71" i="9"/>
  <c r="FY71" i="9"/>
  <c r="FZ71" i="9"/>
  <c r="GA71" i="9"/>
  <c r="GB71" i="9"/>
  <c r="GC71" i="9"/>
  <c r="GD71" i="9"/>
  <c r="GE71" i="9"/>
  <c r="GF71" i="9"/>
  <c r="GG71" i="9"/>
  <c r="GH71" i="9"/>
  <c r="GI71" i="9"/>
  <c r="GJ71" i="9"/>
  <c r="GK71" i="9"/>
  <c r="GL71" i="9"/>
  <c r="GM71" i="9"/>
  <c r="GN71" i="9"/>
  <c r="GO71" i="9"/>
  <c r="GP71" i="9"/>
  <c r="GQ71" i="9"/>
  <c r="GR71" i="9"/>
  <c r="GS71" i="9"/>
  <c r="GT71" i="9"/>
  <c r="GU71" i="9"/>
  <c r="GV71" i="9"/>
  <c r="GW71" i="9"/>
  <c r="GX71" i="9"/>
  <c r="GY71" i="9"/>
  <c r="GZ71" i="9"/>
  <c r="HA71" i="9"/>
  <c r="HB71" i="9"/>
  <c r="HC71" i="9"/>
  <c r="HD71" i="9"/>
  <c r="HE71" i="9"/>
  <c r="HF71" i="9"/>
  <c r="HG71" i="9"/>
  <c r="HH71" i="9"/>
  <c r="HI71" i="9"/>
  <c r="HJ71" i="9"/>
  <c r="HK71" i="9"/>
  <c r="HL71" i="9"/>
  <c r="HM71" i="9"/>
  <c r="HN71" i="9"/>
  <c r="HO71" i="9"/>
  <c r="HP71" i="9"/>
  <c r="HQ71" i="9"/>
  <c r="HR71" i="9"/>
  <c r="HS71" i="9"/>
  <c r="HT71" i="9"/>
  <c r="HU71" i="9"/>
  <c r="HV71" i="9"/>
  <c r="HW71" i="9"/>
  <c r="HX71" i="9"/>
  <c r="HY71" i="9"/>
  <c r="HZ71" i="9"/>
  <c r="IA71" i="9"/>
  <c r="IB71" i="9"/>
  <c r="IC71" i="9"/>
  <c r="ID71" i="9"/>
  <c r="IE71" i="9"/>
  <c r="IF71" i="9"/>
  <c r="IG71" i="9"/>
  <c r="IH71" i="9"/>
  <c r="II71" i="9"/>
  <c r="IJ71" i="9"/>
  <c r="IK71" i="9"/>
  <c r="IL71" i="9"/>
  <c r="IM71" i="9"/>
  <c r="IN71" i="9"/>
  <c r="IO71" i="9"/>
  <c r="IP71" i="9"/>
  <c r="IQ71" i="9"/>
  <c r="IR71" i="9"/>
  <c r="IS71" i="9"/>
  <c r="IT71" i="9"/>
  <c r="IU71" i="9"/>
  <c r="IV71" i="9"/>
  <c r="A70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BV70" i="9"/>
  <c r="BW70" i="9"/>
  <c r="BX70" i="9"/>
  <c r="BY70" i="9"/>
  <c r="BZ70" i="9"/>
  <c r="CA70" i="9"/>
  <c r="CB70" i="9"/>
  <c r="CC70" i="9"/>
  <c r="CD70" i="9"/>
  <c r="CE70" i="9"/>
  <c r="CF70" i="9"/>
  <c r="CG70" i="9"/>
  <c r="CH70" i="9"/>
  <c r="CI70" i="9"/>
  <c r="CJ70" i="9"/>
  <c r="CK70" i="9"/>
  <c r="CL70" i="9"/>
  <c r="CM70" i="9"/>
  <c r="CN70" i="9"/>
  <c r="CO70" i="9"/>
  <c r="CP70" i="9"/>
  <c r="CQ70" i="9"/>
  <c r="CR70" i="9"/>
  <c r="CS70" i="9"/>
  <c r="CT70" i="9"/>
  <c r="CU70" i="9"/>
  <c r="CV70" i="9"/>
  <c r="CW70" i="9"/>
  <c r="CX70" i="9"/>
  <c r="CY70" i="9"/>
  <c r="CZ70" i="9"/>
  <c r="DA70" i="9"/>
  <c r="DB70" i="9"/>
  <c r="DC70" i="9"/>
  <c r="DD70" i="9"/>
  <c r="DE70" i="9"/>
  <c r="DF70" i="9"/>
  <c r="DG70" i="9"/>
  <c r="DH70" i="9"/>
  <c r="DI70" i="9"/>
  <c r="DJ70" i="9"/>
  <c r="DK70" i="9"/>
  <c r="DL70" i="9"/>
  <c r="DM70" i="9"/>
  <c r="DN70" i="9"/>
  <c r="DO70" i="9"/>
  <c r="DP70" i="9"/>
  <c r="DQ70" i="9"/>
  <c r="DR70" i="9"/>
  <c r="DS70" i="9"/>
  <c r="DT70" i="9"/>
  <c r="DU70" i="9"/>
  <c r="DV70" i="9"/>
  <c r="DW70" i="9"/>
  <c r="DX70" i="9"/>
  <c r="DY70" i="9"/>
  <c r="DZ70" i="9"/>
  <c r="EA70" i="9"/>
  <c r="EB70" i="9"/>
  <c r="EC70" i="9"/>
  <c r="ED70" i="9"/>
  <c r="EE70" i="9"/>
  <c r="EF70" i="9"/>
  <c r="EG70" i="9"/>
  <c r="EH70" i="9"/>
  <c r="EI70" i="9"/>
  <c r="EJ70" i="9"/>
  <c r="EK70" i="9"/>
  <c r="EL70" i="9"/>
  <c r="EM70" i="9"/>
  <c r="EN70" i="9"/>
  <c r="EO70" i="9"/>
  <c r="EP70" i="9"/>
  <c r="EQ70" i="9"/>
  <c r="ER70" i="9"/>
  <c r="ES70" i="9"/>
  <c r="ET70" i="9"/>
  <c r="EU70" i="9"/>
  <c r="EV70" i="9"/>
  <c r="EW70" i="9"/>
  <c r="EX70" i="9"/>
  <c r="EY70" i="9"/>
  <c r="EZ70" i="9"/>
  <c r="FA70" i="9"/>
  <c r="FB70" i="9"/>
  <c r="FC70" i="9"/>
  <c r="FD70" i="9"/>
  <c r="FE70" i="9"/>
  <c r="FF70" i="9"/>
  <c r="FG70" i="9"/>
  <c r="FH70" i="9"/>
  <c r="FI70" i="9"/>
  <c r="FJ70" i="9"/>
  <c r="FK70" i="9"/>
  <c r="FL70" i="9"/>
  <c r="FM70" i="9"/>
  <c r="FN70" i="9"/>
  <c r="FO70" i="9"/>
  <c r="FP70" i="9"/>
  <c r="FQ70" i="9"/>
  <c r="FR70" i="9"/>
  <c r="FS70" i="9"/>
  <c r="FT70" i="9"/>
  <c r="FU70" i="9"/>
  <c r="FV70" i="9"/>
  <c r="FW70" i="9"/>
  <c r="FX70" i="9"/>
  <c r="FY70" i="9"/>
  <c r="FZ70" i="9"/>
  <c r="GA70" i="9"/>
  <c r="GB70" i="9"/>
  <c r="GC70" i="9"/>
  <c r="GD70" i="9"/>
  <c r="GE70" i="9"/>
  <c r="GF70" i="9"/>
  <c r="GG70" i="9"/>
  <c r="GH70" i="9"/>
  <c r="GI70" i="9"/>
  <c r="GJ70" i="9"/>
  <c r="GK70" i="9"/>
  <c r="GL70" i="9"/>
  <c r="GM70" i="9"/>
  <c r="GN70" i="9"/>
  <c r="GO70" i="9"/>
  <c r="GP70" i="9"/>
  <c r="GQ70" i="9"/>
  <c r="GR70" i="9"/>
  <c r="GS70" i="9"/>
  <c r="GT70" i="9"/>
  <c r="GU70" i="9"/>
  <c r="GV70" i="9"/>
  <c r="GW70" i="9"/>
  <c r="GX70" i="9"/>
  <c r="GY70" i="9"/>
  <c r="GZ70" i="9"/>
  <c r="HA70" i="9"/>
  <c r="HB70" i="9"/>
  <c r="HC70" i="9"/>
  <c r="HD70" i="9"/>
  <c r="HE70" i="9"/>
  <c r="HF70" i="9"/>
  <c r="HG70" i="9"/>
  <c r="HH70" i="9"/>
  <c r="HI70" i="9"/>
  <c r="HJ70" i="9"/>
  <c r="HK70" i="9"/>
  <c r="HL70" i="9"/>
  <c r="HM70" i="9"/>
  <c r="HN70" i="9"/>
  <c r="HO70" i="9"/>
  <c r="HP70" i="9"/>
  <c r="HQ70" i="9"/>
  <c r="HR70" i="9"/>
  <c r="HS70" i="9"/>
  <c r="HT70" i="9"/>
  <c r="HU70" i="9"/>
  <c r="HV70" i="9"/>
  <c r="HW70" i="9"/>
  <c r="HX70" i="9"/>
  <c r="HY70" i="9"/>
  <c r="HZ70" i="9"/>
  <c r="IA70" i="9"/>
  <c r="IB70" i="9"/>
  <c r="IC70" i="9"/>
  <c r="ID70" i="9"/>
  <c r="IE70" i="9"/>
  <c r="IF70" i="9"/>
  <c r="IG70" i="9"/>
  <c r="IH70" i="9"/>
  <c r="II70" i="9"/>
  <c r="IJ70" i="9"/>
  <c r="IK70" i="9"/>
  <c r="IL70" i="9"/>
  <c r="IM70" i="9"/>
  <c r="IN70" i="9"/>
  <c r="IO70" i="9"/>
  <c r="IP70" i="9"/>
  <c r="IQ70" i="9"/>
  <c r="IR70" i="9"/>
  <c r="IS70" i="9"/>
  <c r="IT70" i="9"/>
  <c r="IU70" i="9"/>
  <c r="IV70" i="9"/>
  <c r="A69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AV69" i="9"/>
  <c r="AW69" i="9"/>
  <c r="AX69" i="9"/>
  <c r="AY69" i="9"/>
  <c r="AZ69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BU69" i="9"/>
  <c r="BV69" i="9"/>
  <c r="BW69" i="9"/>
  <c r="BX69" i="9"/>
  <c r="BY69" i="9"/>
  <c r="BZ69" i="9"/>
  <c r="CA69" i="9"/>
  <c r="CB69" i="9"/>
  <c r="CC69" i="9"/>
  <c r="CD69" i="9"/>
  <c r="CE69" i="9"/>
  <c r="CF69" i="9"/>
  <c r="CG69" i="9"/>
  <c r="CH69" i="9"/>
  <c r="CI69" i="9"/>
  <c r="CJ69" i="9"/>
  <c r="CK69" i="9"/>
  <c r="CL69" i="9"/>
  <c r="CM69" i="9"/>
  <c r="CN69" i="9"/>
  <c r="CO69" i="9"/>
  <c r="CP69" i="9"/>
  <c r="CQ69" i="9"/>
  <c r="CR69" i="9"/>
  <c r="CS69" i="9"/>
  <c r="CT69" i="9"/>
  <c r="CU69" i="9"/>
  <c r="CV69" i="9"/>
  <c r="CW69" i="9"/>
  <c r="CX69" i="9"/>
  <c r="CY69" i="9"/>
  <c r="CZ69" i="9"/>
  <c r="DA69" i="9"/>
  <c r="DB69" i="9"/>
  <c r="DC69" i="9"/>
  <c r="DD69" i="9"/>
  <c r="DE69" i="9"/>
  <c r="DF69" i="9"/>
  <c r="DG69" i="9"/>
  <c r="DH69" i="9"/>
  <c r="DI69" i="9"/>
  <c r="DJ69" i="9"/>
  <c r="DK69" i="9"/>
  <c r="DL69" i="9"/>
  <c r="DM69" i="9"/>
  <c r="DN69" i="9"/>
  <c r="DO69" i="9"/>
  <c r="DP69" i="9"/>
  <c r="DQ69" i="9"/>
  <c r="DR69" i="9"/>
  <c r="DS69" i="9"/>
  <c r="DT69" i="9"/>
  <c r="DU69" i="9"/>
  <c r="DV69" i="9"/>
  <c r="DW69" i="9"/>
  <c r="DX69" i="9"/>
  <c r="DY69" i="9"/>
  <c r="DZ69" i="9"/>
  <c r="EA69" i="9"/>
  <c r="EB69" i="9"/>
  <c r="EC69" i="9"/>
  <c r="ED69" i="9"/>
  <c r="EE69" i="9"/>
  <c r="EF69" i="9"/>
  <c r="EG69" i="9"/>
  <c r="EH69" i="9"/>
  <c r="EI69" i="9"/>
  <c r="EJ69" i="9"/>
  <c r="EK69" i="9"/>
  <c r="EL69" i="9"/>
  <c r="EM69" i="9"/>
  <c r="EN69" i="9"/>
  <c r="EO69" i="9"/>
  <c r="EP69" i="9"/>
  <c r="EQ69" i="9"/>
  <c r="ER69" i="9"/>
  <c r="ES69" i="9"/>
  <c r="ET69" i="9"/>
  <c r="EU69" i="9"/>
  <c r="EV69" i="9"/>
  <c r="EW69" i="9"/>
  <c r="EX69" i="9"/>
  <c r="EY69" i="9"/>
  <c r="EZ69" i="9"/>
  <c r="FA69" i="9"/>
  <c r="FB69" i="9"/>
  <c r="FC69" i="9"/>
  <c r="FD69" i="9"/>
  <c r="FE69" i="9"/>
  <c r="FF69" i="9"/>
  <c r="FG69" i="9"/>
  <c r="FH69" i="9"/>
  <c r="FI69" i="9"/>
  <c r="FJ69" i="9"/>
  <c r="FK69" i="9"/>
  <c r="FL69" i="9"/>
  <c r="FM69" i="9"/>
  <c r="FN69" i="9"/>
  <c r="FO69" i="9"/>
  <c r="FP69" i="9"/>
  <c r="FQ69" i="9"/>
  <c r="FR69" i="9"/>
  <c r="FS69" i="9"/>
  <c r="FT69" i="9"/>
  <c r="FU69" i="9"/>
  <c r="FV69" i="9"/>
  <c r="FW69" i="9"/>
  <c r="FX69" i="9"/>
  <c r="FY69" i="9"/>
  <c r="FZ69" i="9"/>
  <c r="GA69" i="9"/>
  <c r="GB69" i="9"/>
  <c r="GC69" i="9"/>
  <c r="GD69" i="9"/>
  <c r="GE69" i="9"/>
  <c r="GF69" i="9"/>
  <c r="GG69" i="9"/>
  <c r="GH69" i="9"/>
  <c r="GI69" i="9"/>
  <c r="GJ69" i="9"/>
  <c r="GK69" i="9"/>
  <c r="GL69" i="9"/>
  <c r="GM69" i="9"/>
  <c r="GN69" i="9"/>
  <c r="GO69" i="9"/>
  <c r="GP69" i="9"/>
  <c r="GQ69" i="9"/>
  <c r="GR69" i="9"/>
  <c r="GS69" i="9"/>
  <c r="GT69" i="9"/>
  <c r="GU69" i="9"/>
  <c r="GV69" i="9"/>
  <c r="GW69" i="9"/>
  <c r="GX69" i="9"/>
  <c r="GY69" i="9"/>
  <c r="GZ69" i="9"/>
  <c r="HA69" i="9"/>
  <c r="HB69" i="9"/>
  <c r="HC69" i="9"/>
  <c r="HD69" i="9"/>
  <c r="HE69" i="9"/>
  <c r="HF69" i="9"/>
  <c r="HG69" i="9"/>
  <c r="HH69" i="9"/>
  <c r="HI69" i="9"/>
  <c r="HJ69" i="9"/>
  <c r="HK69" i="9"/>
  <c r="HL69" i="9"/>
  <c r="HM69" i="9"/>
  <c r="HN69" i="9"/>
  <c r="HO69" i="9"/>
  <c r="HP69" i="9"/>
  <c r="HQ69" i="9"/>
  <c r="HR69" i="9"/>
  <c r="HS69" i="9"/>
  <c r="HT69" i="9"/>
  <c r="HU69" i="9"/>
  <c r="HV69" i="9"/>
  <c r="HW69" i="9"/>
  <c r="HX69" i="9"/>
  <c r="HY69" i="9"/>
  <c r="HZ69" i="9"/>
  <c r="IA69" i="9"/>
  <c r="IB69" i="9"/>
  <c r="IC69" i="9"/>
  <c r="ID69" i="9"/>
  <c r="IE69" i="9"/>
  <c r="IF69" i="9"/>
  <c r="IG69" i="9"/>
  <c r="IH69" i="9"/>
  <c r="II69" i="9"/>
  <c r="IJ69" i="9"/>
  <c r="IK69" i="9"/>
  <c r="IL69" i="9"/>
  <c r="IM69" i="9"/>
  <c r="IN69" i="9"/>
  <c r="IO69" i="9"/>
  <c r="IP69" i="9"/>
  <c r="IQ69" i="9"/>
  <c r="IR69" i="9"/>
  <c r="IS69" i="9"/>
  <c r="IT69" i="9"/>
  <c r="IU69" i="9"/>
  <c r="IV69" i="9"/>
  <c r="A68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AV68" i="9"/>
  <c r="AW68" i="9"/>
  <c r="AX68" i="9"/>
  <c r="AY68" i="9"/>
  <c r="AZ68" i="9"/>
  <c r="BA68" i="9"/>
  <c r="BB68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BT68" i="9"/>
  <c r="BU68" i="9"/>
  <c r="BV68" i="9"/>
  <c r="BW68" i="9"/>
  <c r="BX68" i="9"/>
  <c r="BY68" i="9"/>
  <c r="BZ68" i="9"/>
  <c r="CA68" i="9"/>
  <c r="CB68" i="9"/>
  <c r="CC68" i="9"/>
  <c r="CD68" i="9"/>
  <c r="CE68" i="9"/>
  <c r="CF68" i="9"/>
  <c r="CG68" i="9"/>
  <c r="CH68" i="9"/>
  <c r="CI68" i="9"/>
  <c r="CJ68" i="9"/>
  <c r="CK68" i="9"/>
  <c r="CL68" i="9"/>
  <c r="CM68" i="9"/>
  <c r="CN68" i="9"/>
  <c r="CO68" i="9"/>
  <c r="CP68" i="9"/>
  <c r="CQ68" i="9"/>
  <c r="CR68" i="9"/>
  <c r="CS68" i="9"/>
  <c r="CT68" i="9"/>
  <c r="CU68" i="9"/>
  <c r="CV68" i="9"/>
  <c r="CW68" i="9"/>
  <c r="CX68" i="9"/>
  <c r="CY68" i="9"/>
  <c r="CZ68" i="9"/>
  <c r="DA68" i="9"/>
  <c r="DB68" i="9"/>
  <c r="DC68" i="9"/>
  <c r="DD68" i="9"/>
  <c r="DE68" i="9"/>
  <c r="DF68" i="9"/>
  <c r="DG68" i="9"/>
  <c r="DH68" i="9"/>
  <c r="DI68" i="9"/>
  <c r="DJ68" i="9"/>
  <c r="DK68" i="9"/>
  <c r="DL68" i="9"/>
  <c r="DM68" i="9"/>
  <c r="DN68" i="9"/>
  <c r="DO68" i="9"/>
  <c r="DP68" i="9"/>
  <c r="DQ68" i="9"/>
  <c r="DR68" i="9"/>
  <c r="DS68" i="9"/>
  <c r="DT68" i="9"/>
  <c r="DU68" i="9"/>
  <c r="DV68" i="9"/>
  <c r="DW68" i="9"/>
  <c r="DX68" i="9"/>
  <c r="DY68" i="9"/>
  <c r="DZ68" i="9"/>
  <c r="EA68" i="9"/>
  <c r="EB68" i="9"/>
  <c r="EC68" i="9"/>
  <c r="ED68" i="9"/>
  <c r="EE68" i="9"/>
  <c r="EF68" i="9"/>
  <c r="EG68" i="9"/>
  <c r="EH68" i="9"/>
  <c r="EI68" i="9"/>
  <c r="EJ68" i="9"/>
  <c r="EK68" i="9"/>
  <c r="EL68" i="9"/>
  <c r="EM68" i="9"/>
  <c r="EN68" i="9"/>
  <c r="EO68" i="9"/>
  <c r="EP68" i="9"/>
  <c r="EQ68" i="9"/>
  <c r="ER68" i="9"/>
  <c r="ES68" i="9"/>
  <c r="ET68" i="9"/>
  <c r="EU68" i="9"/>
  <c r="EV68" i="9"/>
  <c r="EW68" i="9"/>
  <c r="EX68" i="9"/>
  <c r="EY68" i="9"/>
  <c r="EZ68" i="9"/>
  <c r="FA68" i="9"/>
  <c r="FB68" i="9"/>
  <c r="FC68" i="9"/>
  <c r="FD68" i="9"/>
  <c r="FE68" i="9"/>
  <c r="FF68" i="9"/>
  <c r="FG68" i="9"/>
  <c r="FH68" i="9"/>
  <c r="FI68" i="9"/>
  <c r="FJ68" i="9"/>
  <c r="FK68" i="9"/>
  <c r="FL68" i="9"/>
  <c r="FM68" i="9"/>
  <c r="FN68" i="9"/>
  <c r="FO68" i="9"/>
  <c r="FP68" i="9"/>
  <c r="FQ68" i="9"/>
  <c r="FR68" i="9"/>
  <c r="FS68" i="9"/>
  <c r="FT68" i="9"/>
  <c r="FU68" i="9"/>
  <c r="FV68" i="9"/>
  <c r="FW68" i="9"/>
  <c r="FX68" i="9"/>
  <c r="FY68" i="9"/>
  <c r="FZ68" i="9"/>
  <c r="GA68" i="9"/>
  <c r="GB68" i="9"/>
  <c r="GC68" i="9"/>
  <c r="GD68" i="9"/>
  <c r="GE68" i="9"/>
  <c r="GF68" i="9"/>
  <c r="GG68" i="9"/>
  <c r="GH68" i="9"/>
  <c r="GI68" i="9"/>
  <c r="GJ68" i="9"/>
  <c r="GK68" i="9"/>
  <c r="GL68" i="9"/>
  <c r="GM68" i="9"/>
  <c r="GN68" i="9"/>
  <c r="GO68" i="9"/>
  <c r="GP68" i="9"/>
  <c r="GQ68" i="9"/>
  <c r="GR68" i="9"/>
  <c r="GS68" i="9"/>
  <c r="GT68" i="9"/>
  <c r="GU68" i="9"/>
  <c r="GV68" i="9"/>
  <c r="GW68" i="9"/>
  <c r="GX68" i="9"/>
  <c r="GY68" i="9"/>
  <c r="GZ68" i="9"/>
  <c r="HA68" i="9"/>
  <c r="HB68" i="9"/>
  <c r="HC68" i="9"/>
  <c r="HD68" i="9"/>
  <c r="HE68" i="9"/>
  <c r="HF68" i="9"/>
  <c r="HG68" i="9"/>
  <c r="HH68" i="9"/>
  <c r="HI68" i="9"/>
  <c r="HJ68" i="9"/>
  <c r="HK68" i="9"/>
  <c r="HL68" i="9"/>
  <c r="HM68" i="9"/>
  <c r="HN68" i="9"/>
  <c r="HO68" i="9"/>
  <c r="HP68" i="9"/>
  <c r="HQ68" i="9"/>
  <c r="HR68" i="9"/>
  <c r="HS68" i="9"/>
  <c r="HT68" i="9"/>
  <c r="HU68" i="9"/>
  <c r="HV68" i="9"/>
  <c r="HW68" i="9"/>
  <c r="HX68" i="9"/>
  <c r="HY68" i="9"/>
  <c r="HZ68" i="9"/>
  <c r="IA68" i="9"/>
  <c r="IB68" i="9"/>
  <c r="IC68" i="9"/>
  <c r="ID68" i="9"/>
  <c r="IE68" i="9"/>
  <c r="IF68" i="9"/>
  <c r="IG68" i="9"/>
  <c r="IH68" i="9"/>
  <c r="II68" i="9"/>
  <c r="IJ68" i="9"/>
  <c r="IK68" i="9"/>
  <c r="IL68" i="9"/>
  <c r="IM68" i="9"/>
  <c r="IN68" i="9"/>
  <c r="IO68" i="9"/>
  <c r="IP68" i="9"/>
  <c r="IQ68" i="9"/>
  <c r="IR68" i="9"/>
  <c r="IS68" i="9"/>
  <c r="IT68" i="9"/>
  <c r="IU68" i="9"/>
  <c r="IV68" i="9"/>
  <c r="A67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AV67" i="9"/>
  <c r="AW67" i="9"/>
  <c r="AX67" i="9"/>
  <c r="AY67" i="9"/>
  <c r="AZ67" i="9"/>
  <c r="BA67" i="9"/>
  <c r="BB67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BS67" i="9"/>
  <c r="BT67" i="9"/>
  <c r="BU67" i="9"/>
  <c r="BV67" i="9"/>
  <c r="BW67" i="9"/>
  <c r="BX67" i="9"/>
  <c r="BY67" i="9"/>
  <c r="BZ67" i="9"/>
  <c r="CA67" i="9"/>
  <c r="CB67" i="9"/>
  <c r="CC67" i="9"/>
  <c r="CD67" i="9"/>
  <c r="CE67" i="9"/>
  <c r="CF67" i="9"/>
  <c r="CG67" i="9"/>
  <c r="CH67" i="9"/>
  <c r="CI67" i="9"/>
  <c r="CJ67" i="9"/>
  <c r="CK67" i="9"/>
  <c r="CL67" i="9"/>
  <c r="CM67" i="9"/>
  <c r="CN67" i="9"/>
  <c r="CO67" i="9"/>
  <c r="CP67" i="9"/>
  <c r="CQ67" i="9"/>
  <c r="CR67" i="9"/>
  <c r="CS67" i="9"/>
  <c r="CT67" i="9"/>
  <c r="CU67" i="9"/>
  <c r="CV67" i="9"/>
  <c r="CW67" i="9"/>
  <c r="CX67" i="9"/>
  <c r="CY67" i="9"/>
  <c r="CZ67" i="9"/>
  <c r="DA67" i="9"/>
  <c r="DB67" i="9"/>
  <c r="DC67" i="9"/>
  <c r="DD67" i="9"/>
  <c r="DE67" i="9"/>
  <c r="DF67" i="9"/>
  <c r="DG67" i="9"/>
  <c r="DH67" i="9"/>
  <c r="DI67" i="9"/>
  <c r="DJ67" i="9"/>
  <c r="DK67" i="9"/>
  <c r="DL67" i="9"/>
  <c r="DM67" i="9"/>
  <c r="DN67" i="9"/>
  <c r="DO67" i="9"/>
  <c r="DP67" i="9"/>
  <c r="DQ67" i="9"/>
  <c r="DR67" i="9"/>
  <c r="DS67" i="9"/>
  <c r="DT67" i="9"/>
  <c r="DU67" i="9"/>
  <c r="DV67" i="9"/>
  <c r="DW67" i="9"/>
  <c r="DX67" i="9"/>
  <c r="DY67" i="9"/>
  <c r="DZ67" i="9"/>
  <c r="EA67" i="9"/>
  <c r="EB67" i="9"/>
  <c r="EC67" i="9"/>
  <c r="ED67" i="9"/>
  <c r="EE67" i="9"/>
  <c r="EF67" i="9"/>
  <c r="EG67" i="9"/>
  <c r="EH67" i="9"/>
  <c r="EI67" i="9"/>
  <c r="EJ67" i="9"/>
  <c r="EK67" i="9"/>
  <c r="EL67" i="9"/>
  <c r="EM67" i="9"/>
  <c r="EN67" i="9"/>
  <c r="EO67" i="9"/>
  <c r="EP67" i="9"/>
  <c r="EQ67" i="9"/>
  <c r="ER67" i="9"/>
  <c r="ES67" i="9"/>
  <c r="ET67" i="9"/>
  <c r="EU67" i="9"/>
  <c r="EV67" i="9"/>
  <c r="EW67" i="9"/>
  <c r="EX67" i="9"/>
  <c r="EY67" i="9"/>
  <c r="EZ67" i="9"/>
  <c r="FA67" i="9"/>
  <c r="FB67" i="9"/>
  <c r="FC67" i="9"/>
  <c r="FD67" i="9"/>
  <c r="FE67" i="9"/>
  <c r="FF67" i="9"/>
  <c r="FG67" i="9"/>
  <c r="FH67" i="9"/>
  <c r="FI67" i="9"/>
  <c r="FJ67" i="9"/>
  <c r="FK67" i="9"/>
  <c r="FL67" i="9"/>
  <c r="FM67" i="9"/>
  <c r="FN67" i="9"/>
  <c r="FO67" i="9"/>
  <c r="FP67" i="9"/>
  <c r="FQ67" i="9"/>
  <c r="FR67" i="9"/>
  <c r="FS67" i="9"/>
  <c r="FT67" i="9"/>
  <c r="FU67" i="9"/>
  <c r="FV67" i="9"/>
  <c r="FW67" i="9"/>
  <c r="FX67" i="9"/>
  <c r="FY67" i="9"/>
  <c r="FZ67" i="9"/>
  <c r="GA67" i="9"/>
  <c r="GB67" i="9"/>
  <c r="GC67" i="9"/>
  <c r="GD67" i="9"/>
  <c r="GE67" i="9"/>
  <c r="GF67" i="9"/>
  <c r="GG67" i="9"/>
  <c r="GH67" i="9"/>
  <c r="GI67" i="9"/>
  <c r="GJ67" i="9"/>
  <c r="GK67" i="9"/>
  <c r="GL67" i="9"/>
  <c r="GM67" i="9"/>
  <c r="GN67" i="9"/>
  <c r="GO67" i="9"/>
  <c r="GP67" i="9"/>
  <c r="GQ67" i="9"/>
  <c r="GR67" i="9"/>
  <c r="GS67" i="9"/>
  <c r="GT67" i="9"/>
  <c r="GU67" i="9"/>
  <c r="GV67" i="9"/>
  <c r="GW67" i="9"/>
  <c r="GX67" i="9"/>
  <c r="GY67" i="9"/>
  <c r="GZ67" i="9"/>
  <c r="HA67" i="9"/>
  <c r="HB67" i="9"/>
  <c r="HC67" i="9"/>
  <c r="HD67" i="9"/>
  <c r="HE67" i="9"/>
  <c r="HF67" i="9"/>
  <c r="HG67" i="9"/>
  <c r="HH67" i="9"/>
  <c r="HI67" i="9"/>
  <c r="HJ67" i="9"/>
  <c r="HK67" i="9"/>
  <c r="HL67" i="9"/>
  <c r="HM67" i="9"/>
  <c r="HN67" i="9"/>
  <c r="HO67" i="9"/>
  <c r="HP67" i="9"/>
  <c r="HQ67" i="9"/>
  <c r="HR67" i="9"/>
  <c r="HS67" i="9"/>
  <c r="HT67" i="9"/>
  <c r="HU67" i="9"/>
  <c r="HV67" i="9"/>
  <c r="HW67" i="9"/>
  <c r="HX67" i="9"/>
  <c r="HY67" i="9"/>
  <c r="HZ67" i="9"/>
  <c r="IA67" i="9"/>
  <c r="IB67" i="9"/>
  <c r="IC67" i="9"/>
  <c r="ID67" i="9"/>
  <c r="IE67" i="9"/>
  <c r="IF67" i="9"/>
  <c r="IG67" i="9"/>
  <c r="IH67" i="9"/>
  <c r="II67" i="9"/>
  <c r="IJ67" i="9"/>
  <c r="IK67" i="9"/>
  <c r="IL67" i="9"/>
  <c r="IM67" i="9"/>
  <c r="IN67" i="9"/>
  <c r="IO67" i="9"/>
  <c r="IP67" i="9"/>
  <c r="IQ67" i="9"/>
  <c r="IR67" i="9"/>
  <c r="IS67" i="9"/>
  <c r="IT67" i="9"/>
  <c r="IU67" i="9"/>
  <c r="IV67" i="9"/>
  <c r="A66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AV66" i="9"/>
  <c r="AW66" i="9"/>
  <c r="AX66" i="9"/>
  <c r="AY66" i="9"/>
  <c r="AZ66" i="9"/>
  <c r="BA66" i="9"/>
  <c r="BB66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BR66" i="9"/>
  <c r="BS66" i="9"/>
  <c r="BT66" i="9"/>
  <c r="BU66" i="9"/>
  <c r="BV66" i="9"/>
  <c r="BW66" i="9"/>
  <c r="BX66" i="9"/>
  <c r="BY66" i="9"/>
  <c r="BZ66" i="9"/>
  <c r="CA66" i="9"/>
  <c r="CB66" i="9"/>
  <c r="CC66" i="9"/>
  <c r="CD66" i="9"/>
  <c r="CE66" i="9"/>
  <c r="CF66" i="9"/>
  <c r="CG66" i="9"/>
  <c r="CH66" i="9"/>
  <c r="CI66" i="9"/>
  <c r="CJ66" i="9"/>
  <c r="CK66" i="9"/>
  <c r="CL66" i="9"/>
  <c r="CM66" i="9"/>
  <c r="CN66" i="9"/>
  <c r="CO66" i="9"/>
  <c r="CP66" i="9"/>
  <c r="CQ66" i="9"/>
  <c r="CR66" i="9"/>
  <c r="CS66" i="9"/>
  <c r="CT66" i="9"/>
  <c r="CU66" i="9"/>
  <c r="CV66" i="9"/>
  <c r="CW66" i="9"/>
  <c r="CX66" i="9"/>
  <c r="CY66" i="9"/>
  <c r="CZ66" i="9"/>
  <c r="DA66" i="9"/>
  <c r="DB66" i="9"/>
  <c r="DC66" i="9"/>
  <c r="DD66" i="9"/>
  <c r="DE66" i="9"/>
  <c r="DF66" i="9"/>
  <c r="DG66" i="9"/>
  <c r="DH66" i="9"/>
  <c r="DI66" i="9"/>
  <c r="DJ66" i="9"/>
  <c r="DK66" i="9"/>
  <c r="DL66" i="9"/>
  <c r="DM66" i="9"/>
  <c r="DN66" i="9"/>
  <c r="DO66" i="9"/>
  <c r="DP66" i="9"/>
  <c r="DQ66" i="9"/>
  <c r="DR66" i="9"/>
  <c r="DS66" i="9"/>
  <c r="DT66" i="9"/>
  <c r="DU66" i="9"/>
  <c r="DV66" i="9"/>
  <c r="DW66" i="9"/>
  <c r="DX66" i="9"/>
  <c r="DY66" i="9"/>
  <c r="DZ66" i="9"/>
  <c r="EA66" i="9"/>
  <c r="EB66" i="9"/>
  <c r="EC66" i="9"/>
  <c r="ED66" i="9"/>
  <c r="EE66" i="9"/>
  <c r="EF66" i="9"/>
  <c r="EG66" i="9"/>
  <c r="EH66" i="9"/>
  <c r="EI66" i="9"/>
  <c r="EJ66" i="9"/>
  <c r="EK66" i="9"/>
  <c r="EL66" i="9"/>
  <c r="EM66" i="9"/>
  <c r="EN66" i="9"/>
  <c r="EO66" i="9"/>
  <c r="EP66" i="9"/>
  <c r="EQ66" i="9"/>
  <c r="ER66" i="9"/>
  <c r="ES66" i="9"/>
  <c r="ET66" i="9"/>
  <c r="EU66" i="9"/>
  <c r="EV66" i="9"/>
  <c r="EW66" i="9"/>
  <c r="EX66" i="9"/>
  <c r="EY66" i="9"/>
  <c r="EZ66" i="9"/>
  <c r="FA66" i="9"/>
  <c r="FB66" i="9"/>
  <c r="FC66" i="9"/>
  <c r="FD66" i="9"/>
  <c r="FE66" i="9"/>
  <c r="FF66" i="9"/>
  <c r="FG66" i="9"/>
  <c r="FH66" i="9"/>
  <c r="FI66" i="9"/>
  <c r="FJ66" i="9"/>
  <c r="FK66" i="9"/>
  <c r="FL66" i="9"/>
  <c r="FM66" i="9"/>
  <c r="FN66" i="9"/>
  <c r="FO66" i="9"/>
  <c r="FP66" i="9"/>
  <c r="FQ66" i="9"/>
  <c r="FR66" i="9"/>
  <c r="FS66" i="9"/>
  <c r="FT66" i="9"/>
  <c r="FU66" i="9"/>
  <c r="FV66" i="9"/>
  <c r="FW66" i="9"/>
  <c r="FX66" i="9"/>
  <c r="FY66" i="9"/>
  <c r="FZ66" i="9"/>
  <c r="GA66" i="9"/>
  <c r="GB66" i="9"/>
  <c r="GC66" i="9"/>
  <c r="GD66" i="9"/>
  <c r="GE66" i="9"/>
  <c r="GF66" i="9"/>
  <c r="GG66" i="9"/>
  <c r="GH66" i="9"/>
  <c r="GI66" i="9"/>
  <c r="GJ66" i="9"/>
  <c r="GK66" i="9"/>
  <c r="GL66" i="9"/>
  <c r="GM66" i="9"/>
  <c r="GN66" i="9"/>
  <c r="GO66" i="9"/>
  <c r="GP66" i="9"/>
  <c r="GQ66" i="9"/>
  <c r="GR66" i="9"/>
  <c r="GS66" i="9"/>
  <c r="GT66" i="9"/>
  <c r="GU66" i="9"/>
  <c r="GV66" i="9"/>
  <c r="GW66" i="9"/>
  <c r="GX66" i="9"/>
  <c r="GY66" i="9"/>
  <c r="GZ66" i="9"/>
  <c r="HA66" i="9"/>
  <c r="HB66" i="9"/>
  <c r="HC66" i="9"/>
  <c r="HD66" i="9"/>
  <c r="HE66" i="9"/>
  <c r="HF66" i="9"/>
  <c r="HG66" i="9"/>
  <c r="HH66" i="9"/>
  <c r="HI66" i="9"/>
  <c r="HJ66" i="9"/>
  <c r="HK66" i="9"/>
  <c r="HL66" i="9"/>
  <c r="HM66" i="9"/>
  <c r="HN66" i="9"/>
  <c r="HO66" i="9"/>
  <c r="HP66" i="9"/>
  <c r="HQ66" i="9"/>
  <c r="HR66" i="9"/>
  <c r="HS66" i="9"/>
  <c r="HT66" i="9"/>
  <c r="HU66" i="9"/>
  <c r="HV66" i="9"/>
  <c r="HW66" i="9"/>
  <c r="HX66" i="9"/>
  <c r="HY66" i="9"/>
  <c r="HZ66" i="9"/>
  <c r="IA66" i="9"/>
  <c r="IB66" i="9"/>
  <c r="IC66" i="9"/>
  <c r="ID66" i="9"/>
  <c r="IE66" i="9"/>
  <c r="IF66" i="9"/>
  <c r="IG66" i="9"/>
  <c r="IH66" i="9"/>
  <c r="II66" i="9"/>
  <c r="IJ66" i="9"/>
  <c r="IK66" i="9"/>
  <c r="IL66" i="9"/>
  <c r="IM66" i="9"/>
  <c r="IN66" i="9"/>
  <c r="IO66" i="9"/>
  <c r="IP66" i="9"/>
  <c r="IQ66" i="9"/>
  <c r="IR66" i="9"/>
  <c r="IS66" i="9"/>
  <c r="IT66" i="9"/>
  <c r="IU66" i="9"/>
  <c r="IV66" i="9"/>
  <c r="A65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EE65" i="9"/>
  <c r="EF65" i="9"/>
  <c r="EG65" i="9"/>
  <c r="EH65" i="9"/>
  <c r="EI65" i="9"/>
  <c r="EJ65" i="9"/>
  <c r="EK65" i="9"/>
  <c r="EL65" i="9"/>
  <c r="EM65" i="9"/>
  <c r="EN65" i="9"/>
  <c r="EO65" i="9"/>
  <c r="EP65" i="9"/>
  <c r="EQ65" i="9"/>
  <c r="ER65" i="9"/>
  <c r="ES65" i="9"/>
  <c r="ET65" i="9"/>
  <c r="EU65" i="9"/>
  <c r="EV65" i="9"/>
  <c r="EW65" i="9"/>
  <c r="EX65" i="9"/>
  <c r="EY65" i="9"/>
  <c r="EZ65" i="9"/>
  <c r="FA65" i="9"/>
  <c r="FB65" i="9"/>
  <c r="FC65" i="9"/>
  <c r="FD65" i="9"/>
  <c r="FE65" i="9"/>
  <c r="FF65" i="9"/>
  <c r="FG65" i="9"/>
  <c r="FH65" i="9"/>
  <c r="FI65" i="9"/>
  <c r="FJ65" i="9"/>
  <c r="FK65" i="9"/>
  <c r="FL65" i="9"/>
  <c r="FM65" i="9"/>
  <c r="FN65" i="9"/>
  <c r="FO65" i="9"/>
  <c r="FP65" i="9"/>
  <c r="FQ65" i="9"/>
  <c r="FR65" i="9"/>
  <c r="FS65" i="9"/>
  <c r="FT65" i="9"/>
  <c r="FU65" i="9"/>
  <c r="FV65" i="9"/>
  <c r="FW65" i="9"/>
  <c r="FX65" i="9"/>
  <c r="FY65" i="9"/>
  <c r="FZ65" i="9"/>
  <c r="GA65" i="9"/>
  <c r="GB65" i="9"/>
  <c r="GC65" i="9"/>
  <c r="GD65" i="9"/>
  <c r="GE65" i="9"/>
  <c r="GF65" i="9"/>
  <c r="GG65" i="9"/>
  <c r="GH65" i="9"/>
  <c r="GI65" i="9"/>
  <c r="GJ65" i="9"/>
  <c r="GK65" i="9"/>
  <c r="GL65" i="9"/>
  <c r="GM65" i="9"/>
  <c r="GN65" i="9"/>
  <c r="GO65" i="9"/>
  <c r="GP65" i="9"/>
  <c r="GQ65" i="9"/>
  <c r="GR65" i="9"/>
  <c r="GS65" i="9"/>
  <c r="GT65" i="9"/>
  <c r="GU65" i="9"/>
  <c r="GV65" i="9"/>
  <c r="GW65" i="9"/>
  <c r="GX65" i="9"/>
  <c r="GY65" i="9"/>
  <c r="GZ65" i="9"/>
  <c r="HA65" i="9"/>
  <c r="HB65" i="9"/>
  <c r="HC65" i="9"/>
  <c r="HD65" i="9"/>
  <c r="HE65" i="9"/>
  <c r="HF65" i="9"/>
  <c r="HG65" i="9"/>
  <c r="HH65" i="9"/>
  <c r="HI65" i="9"/>
  <c r="HJ65" i="9"/>
  <c r="HK65" i="9"/>
  <c r="HL65" i="9"/>
  <c r="HM65" i="9"/>
  <c r="HN65" i="9"/>
  <c r="HO65" i="9"/>
  <c r="HP65" i="9"/>
  <c r="HQ65" i="9"/>
  <c r="HR65" i="9"/>
  <c r="HS65" i="9"/>
  <c r="HT65" i="9"/>
  <c r="HU65" i="9"/>
  <c r="HV65" i="9"/>
  <c r="HW65" i="9"/>
  <c r="HX65" i="9"/>
  <c r="HY65" i="9"/>
  <c r="HZ65" i="9"/>
  <c r="IA65" i="9"/>
  <c r="IB65" i="9"/>
  <c r="IC65" i="9"/>
  <c r="ID65" i="9"/>
  <c r="IE65" i="9"/>
  <c r="IF65" i="9"/>
  <c r="IG65" i="9"/>
  <c r="IH65" i="9"/>
  <c r="II65" i="9"/>
  <c r="IJ65" i="9"/>
  <c r="IK65" i="9"/>
  <c r="IL65" i="9"/>
  <c r="IM65" i="9"/>
  <c r="IN65" i="9"/>
  <c r="IO65" i="9"/>
  <c r="IP65" i="9"/>
  <c r="IQ65" i="9"/>
  <c r="IR65" i="9"/>
  <c r="IS65" i="9"/>
  <c r="IT65" i="9"/>
  <c r="IU65" i="9"/>
  <c r="IV65" i="9"/>
  <c r="A64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AV64" i="9"/>
  <c r="AW64" i="9"/>
  <c r="AX64" i="9"/>
  <c r="AY64" i="9"/>
  <c r="AZ64" i="9"/>
  <c r="BA64" i="9"/>
  <c r="BB64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BP64" i="9"/>
  <c r="BQ64" i="9"/>
  <c r="BR64" i="9"/>
  <c r="BS64" i="9"/>
  <c r="BT64" i="9"/>
  <c r="BU64" i="9"/>
  <c r="BV64" i="9"/>
  <c r="BW64" i="9"/>
  <c r="BX64" i="9"/>
  <c r="BY64" i="9"/>
  <c r="BZ64" i="9"/>
  <c r="CA64" i="9"/>
  <c r="CB64" i="9"/>
  <c r="CC64" i="9"/>
  <c r="CD64" i="9"/>
  <c r="CE64" i="9"/>
  <c r="CF64" i="9"/>
  <c r="CG64" i="9"/>
  <c r="CH64" i="9"/>
  <c r="CI64" i="9"/>
  <c r="CJ64" i="9"/>
  <c r="CK64" i="9"/>
  <c r="CL64" i="9"/>
  <c r="CM64" i="9"/>
  <c r="CN64" i="9"/>
  <c r="CO64" i="9"/>
  <c r="CP64" i="9"/>
  <c r="CQ64" i="9"/>
  <c r="CR64" i="9"/>
  <c r="CS64" i="9"/>
  <c r="CT64" i="9"/>
  <c r="CU64" i="9"/>
  <c r="CV64" i="9"/>
  <c r="CW64" i="9"/>
  <c r="CX64" i="9"/>
  <c r="CY64" i="9"/>
  <c r="CZ64" i="9"/>
  <c r="DA64" i="9"/>
  <c r="DB64" i="9"/>
  <c r="DC64" i="9"/>
  <c r="DD64" i="9"/>
  <c r="DE64" i="9"/>
  <c r="DF64" i="9"/>
  <c r="DG64" i="9"/>
  <c r="DH64" i="9"/>
  <c r="DI64" i="9"/>
  <c r="DJ64" i="9"/>
  <c r="DK64" i="9"/>
  <c r="DL64" i="9"/>
  <c r="DM64" i="9"/>
  <c r="DN64" i="9"/>
  <c r="DO64" i="9"/>
  <c r="DP64" i="9"/>
  <c r="DQ64" i="9"/>
  <c r="DR64" i="9"/>
  <c r="DS64" i="9"/>
  <c r="DT64" i="9"/>
  <c r="DU64" i="9"/>
  <c r="DV64" i="9"/>
  <c r="DW64" i="9"/>
  <c r="DX64" i="9"/>
  <c r="DY64" i="9"/>
  <c r="DZ64" i="9"/>
  <c r="EA64" i="9"/>
  <c r="EB64" i="9"/>
  <c r="EC64" i="9"/>
  <c r="ED64" i="9"/>
  <c r="EE64" i="9"/>
  <c r="EF64" i="9"/>
  <c r="EG64" i="9"/>
  <c r="EH64" i="9"/>
  <c r="EI64" i="9"/>
  <c r="EJ64" i="9"/>
  <c r="EK64" i="9"/>
  <c r="EL64" i="9"/>
  <c r="EM64" i="9"/>
  <c r="EN64" i="9"/>
  <c r="EO64" i="9"/>
  <c r="EP64" i="9"/>
  <c r="EQ64" i="9"/>
  <c r="ER64" i="9"/>
  <c r="ES64" i="9"/>
  <c r="ET64" i="9"/>
  <c r="EU64" i="9"/>
  <c r="EV64" i="9"/>
  <c r="EW64" i="9"/>
  <c r="EX64" i="9"/>
  <c r="EY64" i="9"/>
  <c r="EZ64" i="9"/>
  <c r="FA64" i="9"/>
  <c r="FB64" i="9"/>
  <c r="FC64" i="9"/>
  <c r="FD64" i="9"/>
  <c r="FE64" i="9"/>
  <c r="FF64" i="9"/>
  <c r="FG64" i="9"/>
  <c r="FH64" i="9"/>
  <c r="FI64" i="9"/>
  <c r="FJ64" i="9"/>
  <c r="FK64" i="9"/>
  <c r="FL64" i="9"/>
  <c r="FM64" i="9"/>
  <c r="FN64" i="9"/>
  <c r="FO64" i="9"/>
  <c r="FP64" i="9"/>
  <c r="FQ64" i="9"/>
  <c r="FR64" i="9"/>
  <c r="FS64" i="9"/>
  <c r="FT64" i="9"/>
  <c r="FU64" i="9"/>
  <c r="FV64" i="9"/>
  <c r="FW64" i="9"/>
  <c r="FX64" i="9"/>
  <c r="FY64" i="9"/>
  <c r="FZ64" i="9"/>
  <c r="GA64" i="9"/>
  <c r="GB64" i="9"/>
  <c r="GC64" i="9"/>
  <c r="GD64" i="9"/>
  <c r="GE64" i="9"/>
  <c r="GF64" i="9"/>
  <c r="GG64" i="9"/>
  <c r="GH64" i="9"/>
  <c r="GI64" i="9"/>
  <c r="GJ64" i="9"/>
  <c r="GK64" i="9"/>
  <c r="GL64" i="9"/>
  <c r="GM64" i="9"/>
  <c r="GN64" i="9"/>
  <c r="GO64" i="9"/>
  <c r="GP64" i="9"/>
  <c r="GQ64" i="9"/>
  <c r="GR64" i="9"/>
  <c r="GS64" i="9"/>
  <c r="GT64" i="9"/>
  <c r="GU64" i="9"/>
  <c r="GV64" i="9"/>
  <c r="GW64" i="9"/>
  <c r="GX64" i="9"/>
  <c r="GY64" i="9"/>
  <c r="GZ64" i="9"/>
  <c r="HA64" i="9"/>
  <c r="HB64" i="9"/>
  <c r="HC64" i="9"/>
  <c r="HD64" i="9"/>
  <c r="HE64" i="9"/>
  <c r="HF64" i="9"/>
  <c r="HG64" i="9"/>
  <c r="HH64" i="9"/>
  <c r="HI64" i="9"/>
  <c r="HJ64" i="9"/>
  <c r="HK64" i="9"/>
  <c r="HL64" i="9"/>
  <c r="HM64" i="9"/>
  <c r="HN64" i="9"/>
  <c r="HO64" i="9"/>
  <c r="HP64" i="9"/>
  <c r="HQ64" i="9"/>
  <c r="HR64" i="9"/>
  <c r="HS64" i="9"/>
  <c r="HT64" i="9"/>
  <c r="HU64" i="9"/>
  <c r="HV64" i="9"/>
  <c r="HW64" i="9"/>
  <c r="HX64" i="9"/>
  <c r="HY64" i="9"/>
  <c r="HZ64" i="9"/>
  <c r="IA64" i="9"/>
  <c r="IB64" i="9"/>
  <c r="IC64" i="9"/>
  <c r="ID64" i="9"/>
  <c r="IE64" i="9"/>
  <c r="IF64" i="9"/>
  <c r="IG64" i="9"/>
  <c r="IH64" i="9"/>
  <c r="II64" i="9"/>
  <c r="IJ64" i="9"/>
  <c r="IK64" i="9"/>
  <c r="IL64" i="9"/>
  <c r="IM64" i="9"/>
  <c r="IN64" i="9"/>
  <c r="IO64" i="9"/>
  <c r="IP64" i="9"/>
  <c r="IQ64" i="9"/>
  <c r="IR64" i="9"/>
  <c r="IS64" i="9"/>
  <c r="IT64" i="9"/>
  <c r="IU64" i="9"/>
  <c r="IV64" i="9"/>
  <c r="A63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O63" i="9"/>
  <c r="BP63" i="9"/>
  <c r="BQ63" i="9"/>
  <c r="BR63" i="9"/>
  <c r="BS63" i="9"/>
  <c r="BT63" i="9"/>
  <c r="BU63" i="9"/>
  <c r="BV63" i="9"/>
  <c r="BW63" i="9"/>
  <c r="BX63" i="9"/>
  <c r="BY63" i="9"/>
  <c r="BZ63" i="9"/>
  <c r="CA63" i="9"/>
  <c r="CB63" i="9"/>
  <c r="CC63" i="9"/>
  <c r="CD63" i="9"/>
  <c r="CE63" i="9"/>
  <c r="CF63" i="9"/>
  <c r="CG63" i="9"/>
  <c r="CH63" i="9"/>
  <c r="CI63" i="9"/>
  <c r="CJ63" i="9"/>
  <c r="CK63" i="9"/>
  <c r="CL63" i="9"/>
  <c r="CM63" i="9"/>
  <c r="CN63" i="9"/>
  <c r="CO63" i="9"/>
  <c r="CP63" i="9"/>
  <c r="CQ63" i="9"/>
  <c r="CR63" i="9"/>
  <c r="CS63" i="9"/>
  <c r="CT63" i="9"/>
  <c r="CU63" i="9"/>
  <c r="CV63" i="9"/>
  <c r="CW63" i="9"/>
  <c r="CX63" i="9"/>
  <c r="CY63" i="9"/>
  <c r="CZ63" i="9"/>
  <c r="DA63" i="9"/>
  <c r="DB63" i="9"/>
  <c r="DC63" i="9"/>
  <c r="DD63" i="9"/>
  <c r="DE63" i="9"/>
  <c r="DF63" i="9"/>
  <c r="DG63" i="9"/>
  <c r="DH63" i="9"/>
  <c r="DI63" i="9"/>
  <c r="DJ63" i="9"/>
  <c r="DK63" i="9"/>
  <c r="DL63" i="9"/>
  <c r="DM63" i="9"/>
  <c r="DN63" i="9"/>
  <c r="DO63" i="9"/>
  <c r="DP63" i="9"/>
  <c r="DQ63" i="9"/>
  <c r="DR63" i="9"/>
  <c r="DS63" i="9"/>
  <c r="DT63" i="9"/>
  <c r="DU63" i="9"/>
  <c r="DV63" i="9"/>
  <c r="DW63" i="9"/>
  <c r="DX63" i="9"/>
  <c r="DY63" i="9"/>
  <c r="DZ63" i="9"/>
  <c r="EA63" i="9"/>
  <c r="EB63" i="9"/>
  <c r="EC63" i="9"/>
  <c r="ED63" i="9"/>
  <c r="EE63" i="9"/>
  <c r="EF63" i="9"/>
  <c r="EG63" i="9"/>
  <c r="EH63" i="9"/>
  <c r="EI63" i="9"/>
  <c r="EJ63" i="9"/>
  <c r="EK63" i="9"/>
  <c r="EL63" i="9"/>
  <c r="EM63" i="9"/>
  <c r="EN63" i="9"/>
  <c r="EO63" i="9"/>
  <c r="EP63" i="9"/>
  <c r="EQ63" i="9"/>
  <c r="ER63" i="9"/>
  <c r="ES63" i="9"/>
  <c r="ET63" i="9"/>
  <c r="EU63" i="9"/>
  <c r="EV63" i="9"/>
  <c r="EW63" i="9"/>
  <c r="EX63" i="9"/>
  <c r="EY63" i="9"/>
  <c r="EZ63" i="9"/>
  <c r="FA63" i="9"/>
  <c r="FB63" i="9"/>
  <c r="FC63" i="9"/>
  <c r="FD63" i="9"/>
  <c r="FE63" i="9"/>
  <c r="FF63" i="9"/>
  <c r="FG63" i="9"/>
  <c r="FH63" i="9"/>
  <c r="FI63" i="9"/>
  <c r="FJ63" i="9"/>
  <c r="FK63" i="9"/>
  <c r="FL63" i="9"/>
  <c r="FM63" i="9"/>
  <c r="FN63" i="9"/>
  <c r="FO63" i="9"/>
  <c r="FP63" i="9"/>
  <c r="FQ63" i="9"/>
  <c r="FR63" i="9"/>
  <c r="FS63" i="9"/>
  <c r="FT63" i="9"/>
  <c r="FU63" i="9"/>
  <c r="FV63" i="9"/>
  <c r="FW63" i="9"/>
  <c r="FX63" i="9"/>
  <c r="FY63" i="9"/>
  <c r="FZ63" i="9"/>
  <c r="GA63" i="9"/>
  <c r="GB63" i="9"/>
  <c r="GC63" i="9"/>
  <c r="GD63" i="9"/>
  <c r="GE63" i="9"/>
  <c r="GF63" i="9"/>
  <c r="GG63" i="9"/>
  <c r="GH63" i="9"/>
  <c r="GI63" i="9"/>
  <c r="GJ63" i="9"/>
  <c r="GK63" i="9"/>
  <c r="GL63" i="9"/>
  <c r="GM63" i="9"/>
  <c r="GN63" i="9"/>
  <c r="GO63" i="9"/>
  <c r="GP63" i="9"/>
  <c r="GQ63" i="9"/>
  <c r="GR63" i="9"/>
  <c r="GS63" i="9"/>
  <c r="GT63" i="9"/>
  <c r="GU63" i="9"/>
  <c r="GV63" i="9"/>
  <c r="GW63" i="9"/>
  <c r="GX63" i="9"/>
  <c r="GY63" i="9"/>
  <c r="GZ63" i="9"/>
  <c r="HA63" i="9"/>
  <c r="HB63" i="9"/>
  <c r="HC63" i="9"/>
  <c r="HD63" i="9"/>
  <c r="HE63" i="9"/>
  <c r="HF63" i="9"/>
  <c r="HG63" i="9"/>
  <c r="HH63" i="9"/>
  <c r="HI63" i="9"/>
  <c r="HJ63" i="9"/>
  <c r="HK63" i="9"/>
  <c r="HL63" i="9"/>
  <c r="HM63" i="9"/>
  <c r="HN63" i="9"/>
  <c r="HO63" i="9"/>
  <c r="HP63" i="9"/>
  <c r="HQ63" i="9"/>
  <c r="HR63" i="9"/>
  <c r="HS63" i="9"/>
  <c r="HT63" i="9"/>
  <c r="HU63" i="9"/>
  <c r="HV63" i="9"/>
  <c r="HW63" i="9"/>
  <c r="HX63" i="9"/>
  <c r="HY63" i="9"/>
  <c r="HZ63" i="9"/>
  <c r="IA63" i="9"/>
  <c r="IB63" i="9"/>
  <c r="IC63" i="9"/>
  <c r="ID63" i="9"/>
  <c r="IE63" i="9"/>
  <c r="IF63" i="9"/>
  <c r="IG63" i="9"/>
  <c r="IH63" i="9"/>
  <c r="II63" i="9"/>
  <c r="IJ63" i="9"/>
  <c r="IK63" i="9"/>
  <c r="IL63" i="9"/>
  <c r="IM63" i="9"/>
  <c r="IN63" i="9"/>
  <c r="IO63" i="9"/>
  <c r="IP63" i="9"/>
  <c r="IQ63" i="9"/>
  <c r="IR63" i="9"/>
  <c r="IS63" i="9"/>
  <c r="IT63" i="9"/>
  <c r="IU63" i="9"/>
  <c r="IV63" i="9"/>
  <c r="A62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U62" i="9"/>
  <c r="AV62" i="9"/>
  <c r="AW62" i="9"/>
  <c r="AX62" i="9"/>
  <c r="AY62" i="9"/>
  <c r="AZ62" i="9"/>
  <c r="BA62" i="9"/>
  <c r="BB62" i="9"/>
  <c r="BC62" i="9"/>
  <c r="BD62" i="9"/>
  <c r="BE62" i="9"/>
  <c r="BF62" i="9"/>
  <c r="BG62" i="9"/>
  <c r="BI62" i="9"/>
  <c r="BJ62" i="9"/>
  <c r="BK62" i="9"/>
  <c r="BL62" i="9"/>
  <c r="BM62" i="9"/>
  <c r="BN62" i="9"/>
  <c r="BO62" i="9"/>
  <c r="BP62" i="9"/>
  <c r="BQ62" i="9"/>
  <c r="BR62" i="9"/>
  <c r="BS62" i="9"/>
  <c r="BT62" i="9"/>
  <c r="BU62" i="9"/>
  <c r="BV62" i="9"/>
  <c r="BW62" i="9"/>
  <c r="BX62" i="9"/>
  <c r="BY62" i="9"/>
  <c r="BZ62" i="9"/>
  <c r="CA62" i="9"/>
  <c r="CB62" i="9"/>
  <c r="CC62" i="9"/>
  <c r="CD62" i="9"/>
  <c r="CE62" i="9"/>
  <c r="CF62" i="9"/>
  <c r="CG62" i="9"/>
  <c r="CH62" i="9"/>
  <c r="CI62" i="9"/>
  <c r="CJ62" i="9"/>
  <c r="CK62" i="9"/>
  <c r="CL62" i="9"/>
  <c r="CM62" i="9"/>
  <c r="CN62" i="9"/>
  <c r="CO62" i="9"/>
  <c r="CP62" i="9"/>
  <c r="CQ62" i="9"/>
  <c r="CR62" i="9"/>
  <c r="CS62" i="9"/>
  <c r="CT62" i="9"/>
  <c r="CU62" i="9"/>
  <c r="CV62" i="9"/>
  <c r="CW62" i="9"/>
  <c r="CX62" i="9"/>
  <c r="CY62" i="9"/>
  <c r="CZ62" i="9"/>
  <c r="DA62" i="9"/>
  <c r="DB62" i="9"/>
  <c r="DC62" i="9"/>
  <c r="DD62" i="9"/>
  <c r="DE62" i="9"/>
  <c r="DF62" i="9"/>
  <c r="DG62" i="9"/>
  <c r="DH62" i="9"/>
  <c r="DI62" i="9"/>
  <c r="DJ62" i="9"/>
  <c r="DK62" i="9"/>
  <c r="DL62" i="9"/>
  <c r="DM62" i="9"/>
  <c r="DN62" i="9"/>
  <c r="DO62" i="9"/>
  <c r="DP62" i="9"/>
  <c r="DQ62" i="9"/>
  <c r="DR62" i="9"/>
  <c r="DS62" i="9"/>
  <c r="DT62" i="9"/>
  <c r="DU62" i="9"/>
  <c r="DV62" i="9"/>
  <c r="DW62" i="9"/>
  <c r="DX62" i="9"/>
  <c r="DY62" i="9"/>
  <c r="DZ62" i="9"/>
  <c r="EA62" i="9"/>
  <c r="EB62" i="9"/>
  <c r="EC62" i="9"/>
  <c r="ED62" i="9"/>
  <c r="EE62" i="9"/>
  <c r="EF62" i="9"/>
  <c r="EG62" i="9"/>
  <c r="EH62" i="9"/>
  <c r="EI62" i="9"/>
  <c r="EJ62" i="9"/>
  <c r="EK62" i="9"/>
  <c r="EL62" i="9"/>
  <c r="EM62" i="9"/>
  <c r="EN62" i="9"/>
  <c r="EO62" i="9"/>
  <c r="EP62" i="9"/>
  <c r="EQ62" i="9"/>
  <c r="ER62" i="9"/>
  <c r="ES62" i="9"/>
  <c r="ET62" i="9"/>
  <c r="EU62" i="9"/>
  <c r="EV62" i="9"/>
  <c r="EW62" i="9"/>
  <c r="EX62" i="9"/>
  <c r="EY62" i="9"/>
  <c r="EZ62" i="9"/>
  <c r="FA62" i="9"/>
  <c r="FB62" i="9"/>
  <c r="FC62" i="9"/>
  <c r="FD62" i="9"/>
  <c r="FE62" i="9"/>
  <c r="FF62" i="9"/>
  <c r="FG62" i="9"/>
  <c r="FH62" i="9"/>
  <c r="FI62" i="9"/>
  <c r="FJ62" i="9"/>
  <c r="FK62" i="9"/>
  <c r="FL62" i="9"/>
  <c r="FM62" i="9"/>
  <c r="FN62" i="9"/>
  <c r="FO62" i="9"/>
  <c r="FP62" i="9"/>
  <c r="FQ62" i="9"/>
  <c r="FR62" i="9"/>
  <c r="FS62" i="9"/>
  <c r="FT62" i="9"/>
  <c r="FU62" i="9"/>
  <c r="FV62" i="9"/>
  <c r="FW62" i="9"/>
  <c r="FX62" i="9"/>
  <c r="FY62" i="9"/>
  <c r="FZ62" i="9"/>
  <c r="GA62" i="9"/>
  <c r="GB62" i="9"/>
  <c r="GC62" i="9"/>
  <c r="GD62" i="9"/>
  <c r="GE62" i="9"/>
  <c r="GF62" i="9"/>
  <c r="GG62" i="9"/>
  <c r="GH62" i="9"/>
  <c r="GI62" i="9"/>
  <c r="GJ62" i="9"/>
  <c r="GK62" i="9"/>
  <c r="GL62" i="9"/>
  <c r="GM62" i="9"/>
  <c r="GN62" i="9"/>
  <c r="GO62" i="9"/>
  <c r="GP62" i="9"/>
  <c r="GQ62" i="9"/>
  <c r="GR62" i="9"/>
  <c r="GS62" i="9"/>
  <c r="GT62" i="9"/>
  <c r="GU62" i="9"/>
  <c r="GV62" i="9"/>
  <c r="GW62" i="9"/>
  <c r="GX62" i="9"/>
  <c r="GY62" i="9"/>
  <c r="GZ62" i="9"/>
  <c r="HA62" i="9"/>
  <c r="HB62" i="9"/>
  <c r="HC62" i="9"/>
  <c r="HD62" i="9"/>
  <c r="HE62" i="9"/>
  <c r="HF62" i="9"/>
  <c r="HG62" i="9"/>
  <c r="HH62" i="9"/>
  <c r="HI62" i="9"/>
  <c r="HJ62" i="9"/>
  <c r="HK62" i="9"/>
  <c r="HL62" i="9"/>
  <c r="HM62" i="9"/>
  <c r="HN62" i="9"/>
  <c r="HO62" i="9"/>
  <c r="HP62" i="9"/>
  <c r="HQ62" i="9"/>
  <c r="HR62" i="9"/>
  <c r="HS62" i="9"/>
  <c r="HT62" i="9"/>
  <c r="HU62" i="9"/>
  <c r="HV62" i="9"/>
  <c r="HW62" i="9"/>
  <c r="HX62" i="9"/>
  <c r="HY62" i="9"/>
  <c r="HZ62" i="9"/>
  <c r="IA62" i="9"/>
  <c r="IB62" i="9"/>
  <c r="IC62" i="9"/>
  <c r="ID62" i="9"/>
  <c r="IE62" i="9"/>
  <c r="IF62" i="9"/>
  <c r="IG62" i="9"/>
  <c r="IH62" i="9"/>
  <c r="II62" i="9"/>
  <c r="IJ62" i="9"/>
  <c r="IK62" i="9"/>
  <c r="IL62" i="9"/>
  <c r="IM62" i="9"/>
  <c r="IN62" i="9"/>
  <c r="IO62" i="9"/>
  <c r="IP62" i="9"/>
  <c r="IQ62" i="9"/>
  <c r="IR62" i="9"/>
  <c r="IS62" i="9"/>
  <c r="IT62" i="9"/>
  <c r="IU62" i="9"/>
  <c r="IV62" i="9"/>
  <c r="A61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BI61" i="9"/>
  <c r="BJ61" i="9"/>
  <c r="BK61" i="9"/>
  <c r="BL61" i="9"/>
  <c r="BM61" i="9"/>
  <c r="BN61" i="9"/>
  <c r="BO61" i="9"/>
  <c r="BP61" i="9"/>
  <c r="BQ61" i="9"/>
  <c r="BR61" i="9"/>
  <c r="BS61" i="9"/>
  <c r="BT61" i="9"/>
  <c r="BU61" i="9"/>
  <c r="BV61" i="9"/>
  <c r="BW61" i="9"/>
  <c r="BX61" i="9"/>
  <c r="BY61" i="9"/>
  <c r="BZ61" i="9"/>
  <c r="CA61" i="9"/>
  <c r="CB61" i="9"/>
  <c r="CC61" i="9"/>
  <c r="CD61" i="9"/>
  <c r="CE61" i="9"/>
  <c r="CF61" i="9"/>
  <c r="CG61" i="9"/>
  <c r="CH61" i="9"/>
  <c r="CI61" i="9"/>
  <c r="CJ61" i="9"/>
  <c r="CK61" i="9"/>
  <c r="CL61" i="9"/>
  <c r="CM61" i="9"/>
  <c r="CN61" i="9"/>
  <c r="CO61" i="9"/>
  <c r="CP61" i="9"/>
  <c r="CQ61" i="9"/>
  <c r="CR61" i="9"/>
  <c r="CS61" i="9"/>
  <c r="CT61" i="9"/>
  <c r="CU61" i="9"/>
  <c r="CV61" i="9"/>
  <c r="CW61" i="9"/>
  <c r="CX61" i="9"/>
  <c r="CY61" i="9"/>
  <c r="CZ61" i="9"/>
  <c r="DA61" i="9"/>
  <c r="DB61" i="9"/>
  <c r="DC61" i="9"/>
  <c r="DD61" i="9"/>
  <c r="DE61" i="9"/>
  <c r="DF61" i="9"/>
  <c r="DG61" i="9"/>
  <c r="DH61" i="9"/>
  <c r="DI61" i="9"/>
  <c r="DJ61" i="9"/>
  <c r="DK61" i="9"/>
  <c r="DL61" i="9"/>
  <c r="DM61" i="9"/>
  <c r="DN61" i="9"/>
  <c r="DO61" i="9"/>
  <c r="DP61" i="9"/>
  <c r="DQ61" i="9"/>
  <c r="DR61" i="9"/>
  <c r="DS61" i="9"/>
  <c r="DT61" i="9"/>
  <c r="DU61" i="9"/>
  <c r="DV61" i="9"/>
  <c r="DW61" i="9"/>
  <c r="DX61" i="9"/>
  <c r="DY61" i="9"/>
  <c r="DZ61" i="9"/>
  <c r="EA61" i="9"/>
  <c r="EB61" i="9"/>
  <c r="EC61" i="9"/>
  <c r="ED61" i="9"/>
  <c r="EE61" i="9"/>
  <c r="EF61" i="9"/>
  <c r="EG61" i="9"/>
  <c r="EH61" i="9"/>
  <c r="EI61" i="9"/>
  <c r="EJ61" i="9"/>
  <c r="EK61" i="9"/>
  <c r="EL61" i="9"/>
  <c r="EM61" i="9"/>
  <c r="EN61" i="9"/>
  <c r="EO61" i="9"/>
  <c r="EP61" i="9"/>
  <c r="EQ61" i="9"/>
  <c r="ER61" i="9"/>
  <c r="ES61" i="9"/>
  <c r="ET61" i="9"/>
  <c r="EU61" i="9"/>
  <c r="EV61" i="9"/>
  <c r="EW61" i="9"/>
  <c r="EX61" i="9"/>
  <c r="EY61" i="9"/>
  <c r="EZ61" i="9"/>
  <c r="FA61" i="9"/>
  <c r="FB61" i="9"/>
  <c r="FC61" i="9"/>
  <c r="FD61" i="9"/>
  <c r="FE61" i="9"/>
  <c r="FF61" i="9"/>
  <c r="FG61" i="9"/>
  <c r="FH61" i="9"/>
  <c r="FI61" i="9"/>
  <c r="FJ61" i="9"/>
  <c r="FK61" i="9"/>
  <c r="FL61" i="9"/>
  <c r="FM61" i="9"/>
  <c r="FN61" i="9"/>
  <c r="FO61" i="9"/>
  <c r="FP61" i="9"/>
  <c r="FQ61" i="9"/>
  <c r="FR61" i="9"/>
  <c r="FS61" i="9"/>
  <c r="FT61" i="9"/>
  <c r="FU61" i="9"/>
  <c r="FV61" i="9"/>
  <c r="FW61" i="9"/>
  <c r="FX61" i="9"/>
  <c r="FY61" i="9"/>
  <c r="FZ61" i="9"/>
  <c r="GA61" i="9"/>
  <c r="GB61" i="9"/>
  <c r="GC61" i="9"/>
  <c r="GD61" i="9"/>
  <c r="GE61" i="9"/>
  <c r="GF61" i="9"/>
  <c r="GG61" i="9"/>
  <c r="GH61" i="9"/>
  <c r="GI61" i="9"/>
  <c r="GJ61" i="9"/>
  <c r="GK61" i="9"/>
  <c r="GL61" i="9"/>
  <c r="GM61" i="9"/>
  <c r="GN61" i="9"/>
  <c r="GO61" i="9"/>
  <c r="GP61" i="9"/>
  <c r="GQ61" i="9"/>
  <c r="GR61" i="9"/>
  <c r="GS61" i="9"/>
  <c r="GT61" i="9"/>
  <c r="GU61" i="9"/>
  <c r="GV61" i="9"/>
  <c r="GW61" i="9"/>
  <c r="GX61" i="9"/>
  <c r="GY61" i="9"/>
  <c r="GZ61" i="9"/>
  <c r="HA61" i="9"/>
  <c r="HB61" i="9"/>
  <c r="HC61" i="9"/>
  <c r="HD61" i="9"/>
  <c r="HE61" i="9"/>
  <c r="HF61" i="9"/>
  <c r="HG61" i="9"/>
  <c r="HH61" i="9"/>
  <c r="HI61" i="9"/>
  <c r="HJ61" i="9"/>
  <c r="HK61" i="9"/>
  <c r="HL61" i="9"/>
  <c r="HM61" i="9"/>
  <c r="HN61" i="9"/>
  <c r="HO61" i="9"/>
  <c r="HP61" i="9"/>
  <c r="HQ61" i="9"/>
  <c r="HR61" i="9"/>
  <c r="HS61" i="9"/>
  <c r="HT61" i="9"/>
  <c r="HU61" i="9"/>
  <c r="HV61" i="9"/>
  <c r="HW61" i="9"/>
  <c r="HX61" i="9"/>
  <c r="HY61" i="9"/>
  <c r="HZ61" i="9"/>
  <c r="IA61" i="9"/>
  <c r="IB61" i="9"/>
  <c r="IC61" i="9"/>
  <c r="ID61" i="9"/>
  <c r="IE61" i="9"/>
  <c r="IF61" i="9"/>
  <c r="IG61" i="9"/>
  <c r="IH61" i="9"/>
  <c r="II61" i="9"/>
  <c r="IJ61" i="9"/>
  <c r="IK61" i="9"/>
  <c r="IL61" i="9"/>
  <c r="IM61" i="9"/>
  <c r="IN61" i="9"/>
  <c r="IO61" i="9"/>
  <c r="IP61" i="9"/>
  <c r="IQ61" i="9"/>
  <c r="IR61" i="9"/>
  <c r="IS61" i="9"/>
  <c r="IT61" i="9"/>
  <c r="IU61" i="9"/>
  <c r="IV61" i="9"/>
  <c r="A60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AX60" i="9"/>
  <c r="AY60" i="9"/>
  <c r="AZ60" i="9"/>
  <c r="BA60" i="9"/>
  <c r="BB60" i="9"/>
  <c r="BC60" i="9"/>
  <c r="BD60" i="9"/>
  <c r="BE60" i="9"/>
  <c r="BF60" i="9"/>
  <c r="BG60" i="9"/>
  <c r="BH60" i="9"/>
  <c r="BI60" i="9"/>
  <c r="BJ60" i="9"/>
  <c r="BK60" i="9"/>
  <c r="BL60" i="9"/>
  <c r="BM60" i="9"/>
  <c r="BN60" i="9"/>
  <c r="BO60" i="9"/>
  <c r="BP60" i="9"/>
  <c r="BQ60" i="9"/>
  <c r="BR60" i="9"/>
  <c r="BS60" i="9"/>
  <c r="BT60" i="9"/>
  <c r="BU60" i="9"/>
  <c r="BV60" i="9"/>
  <c r="BW60" i="9"/>
  <c r="BX60" i="9"/>
  <c r="BY60" i="9"/>
  <c r="BZ60" i="9"/>
  <c r="CA60" i="9"/>
  <c r="CB60" i="9"/>
  <c r="CC60" i="9"/>
  <c r="CD60" i="9"/>
  <c r="CE60" i="9"/>
  <c r="CF60" i="9"/>
  <c r="CG60" i="9"/>
  <c r="CH60" i="9"/>
  <c r="CI60" i="9"/>
  <c r="CJ60" i="9"/>
  <c r="CK60" i="9"/>
  <c r="CL60" i="9"/>
  <c r="CM60" i="9"/>
  <c r="CN60" i="9"/>
  <c r="CO60" i="9"/>
  <c r="CP60" i="9"/>
  <c r="CQ60" i="9"/>
  <c r="CR60" i="9"/>
  <c r="CS60" i="9"/>
  <c r="CT60" i="9"/>
  <c r="CU60" i="9"/>
  <c r="CV60" i="9"/>
  <c r="CW60" i="9"/>
  <c r="CX60" i="9"/>
  <c r="CY60" i="9"/>
  <c r="CZ60" i="9"/>
  <c r="DA60" i="9"/>
  <c r="DB60" i="9"/>
  <c r="DC60" i="9"/>
  <c r="DD60" i="9"/>
  <c r="DE60" i="9"/>
  <c r="DF60" i="9"/>
  <c r="DG60" i="9"/>
  <c r="DH60" i="9"/>
  <c r="DI60" i="9"/>
  <c r="DJ60" i="9"/>
  <c r="DK60" i="9"/>
  <c r="DL60" i="9"/>
  <c r="DM60" i="9"/>
  <c r="DN60" i="9"/>
  <c r="DO60" i="9"/>
  <c r="DP60" i="9"/>
  <c r="DQ60" i="9"/>
  <c r="DR60" i="9"/>
  <c r="DS60" i="9"/>
  <c r="DT60" i="9"/>
  <c r="DU60" i="9"/>
  <c r="DV60" i="9"/>
  <c r="DW60" i="9"/>
  <c r="DX60" i="9"/>
  <c r="DY60" i="9"/>
  <c r="DZ60" i="9"/>
  <c r="EA60" i="9"/>
  <c r="EB60" i="9"/>
  <c r="EC60" i="9"/>
  <c r="ED60" i="9"/>
  <c r="EE60" i="9"/>
  <c r="EF60" i="9"/>
  <c r="EG60" i="9"/>
  <c r="EH60" i="9"/>
  <c r="EI60" i="9"/>
  <c r="EJ60" i="9"/>
  <c r="EK60" i="9"/>
  <c r="EL60" i="9"/>
  <c r="EM60" i="9"/>
  <c r="EN60" i="9"/>
  <c r="EO60" i="9"/>
  <c r="EP60" i="9"/>
  <c r="EQ60" i="9"/>
  <c r="ER60" i="9"/>
  <c r="ES60" i="9"/>
  <c r="ET60" i="9"/>
  <c r="EU60" i="9"/>
  <c r="EV60" i="9"/>
  <c r="EW60" i="9"/>
  <c r="EX60" i="9"/>
  <c r="EY60" i="9"/>
  <c r="EZ60" i="9"/>
  <c r="FA60" i="9"/>
  <c r="FB60" i="9"/>
  <c r="FC60" i="9"/>
  <c r="FD60" i="9"/>
  <c r="FE60" i="9"/>
  <c r="FF60" i="9"/>
  <c r="FG60" i="9"/>
  <c r="FH60" i="9"/>
  <c r="FI60" i="9"/>
  <c r="FJ60" i="9"/>
  <c r="FK60" i="9"/>
  <c r="FL60" i="9"/>
  <c r="FM60" i="9"/>
  <c r="FN60" i="9"/>
  <c r="FO60" i="9"/>
  <c r="FP60" i="9"/>
  <c r="FQ60" i="9"/>
  <c r="FR60" i="9"/>
  <c r="FS60" i="9"/>
  <c r="FT60" i="9"/>
  <c r="FU60" i="9"/>
  <c r="FV60" i="9"/>
  <c r="FW60" i="9"/>
  <c r="FX60" i="9"/>
  <c r="FY60" i="9"/>
  <c r="FZ60" i="9"/>
  <c r="GA60" i="9"/>
  <c r="GB60" i="9"/>
  <c r="GC60" i="9"/>
  <c r="GD60" i="9"/>
  <c r="GE60" i="9"/>
  <c r="GF60" i="9"/>
  <c r="GG60" i="9"/>
  <c r="GH60" i="9"/>
  <c r="GI60" i="9"/>
  <c r="GJ60" i="9"/>
  <c r="GK60" i="9"/>
  <c r="GL60" i="9"/>
  <c r="GM60" i="9"/>
  <c r="GN60" i="9"/>
  <c r="GO60" i="9"/>
  <c r="GP60" i="9"/>
  <c r="GQ60" i="9"/>
  <c r="GR60" i="9"/>
  <c r="GS60" i="9"/>
  <c r="GT60" i="9"/>
  <c r="GU60" i="9"/>
  <c r="GV60" i="9"/>
  <c r="GW60" i="9"/>
  <c r="GX60" i="9"/>
  <c r="GY60" i="9"/>
  <c r="GZ60" i="9"/>
  <c r="HA60" i="9"/>
  <c r="HB60" i="9"/>
  <c r="HC60" i="9"/>
  <c r="HD60" i="9"/>
  <c r="HE60" i="9"/>
  <c r="HF60" i="9"/>
  <c r="HG60" i="9"/>
  <c r="HH60" i="9"/>
  <c r="HI60" i="9"/>
  <c r="HJ60" i="9"/>
  <c r="HK60" i="9"/>
  <c r="HL60" i="9"/>
  <c r="HM60" i="9"/>
  <c r="HN60" i="9"/>
  <c r="HO60" i="9"/>
  <c r="HP60" i="9"/>
  <c r="HQ60" i="9"/>
  <c r="HR60" i="9"/>
  <c r="HS60" i="9"/>
  <c r="HT60" i="9"/>
  <c r="HU60" i="9"/>
  <c r="HV60" i="9"/>
  <c r="HW60" i="9"/>
  <c r="HX60" i="9"/>
  <c r="HY60" i="9"/>
  <c r="HZ60" i="9"/>
  <c r="IA60" i="9"/>
  <c r="IB60" i="9"/>
  <c r="IC60" i="9"/>
  <c r="ID60" i="9"/>
  <c r="IE60" i="9"/>
  <c r="IF60" i="9"/>
  <c r="IG60" i="9"/>
  <c r="IH60" i="9"/>
  <c r="II60" i="9"/>
  <c r="IJ60" i="9"/>
  <c r="IK60" i="9"/>
  <c r="IL60" i="9"/>
  <c r="IM60" i="9"/>
  <c r="IN60" i="9"/>
  <c r="IO60" i="9"/>
  <c r="IP60" i="9"/>
  <c r="IQ60" i="9"/>
  <c r="IR60" i="9"/>
  <c r="IS60" i="9"/>
  <c r="IT60" i="9"/>
  <c r="IU60" i="9"/>
  <c r="IV60" i="9"/>
  <c r="A59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BI59" i="9"/>
  <c r="BJ59" i="9"/>
  <c r="BK59" i="9"/>
  <c r="BL59" i="9"/>
  <c r="BM59" i="9"/>
  <c r="BN59" i="9"/>
  <c r="BO59" i="9"/>
  <c r="BP59" i="9"/>
  <c r="BQ59" i="9"/>
  <c r="BR59" i="9"/>
  <c r="BS59" i="9"/>
  <c r="BT59" i="9"/>
  <c r="BU59" i="9"/>
  <c r="BV59" i="9"/>
  <c r="BW59" i="9"/>
  <c r="BX59" i="9"/>
  <c r="BY59" i="9"/>
  <c r="BZ59" i="9"/>
  <c r="CA59" i="9"/>
  <c r="CB59" i="9"/>
  <c r="CC59" i="9"/>
  <c r="CD59" i="9"/>
  <c r="CE59" i="9"/>
  <c r="CF59" i="9"/>
  <c r="CG59" i="9"/>
  <c r="CH59" i="9"/>
  <c r="CI59" i="9"/>
  <c r="CJ59" i="9"/>
  <c r="CK59" i="9"/>
  <c r="CL59" i="9"/>
  <c r="CM59" i="9"/>
  <c r="CN59" i="9"/>
  <c r="CO59" i="9"/>
  <c r="CP59" i="9"/>
  <c r="CQ59" i="9"/>
  <c r="CR59" i="9"/>
  <c r="CS59" i="9"/>
  <c r="CT59" i="9"/>
  <c r="CU59" i="9"/>
  <c r="CV59" i="9"/>
  <c r="CW59" i="9"/>
  <c r="CX59" i="9"/>
  <c r="CY59" i="9"/>
  <c r="CZ59" i="9"/>
  <c r="DA59" i="9"/>
  <c r="DB59" i="9"/>
  <c r="DC59" i="9"/>
  <c r="DD59" i="9"/>
  <c r="DE59" i="9"/>
  <c r="DF59" i="9"/>
  <c r="DG59" i="9"/>
  <c r="DH59" i="9"/>
  <c r="DI59" i="9"/>
  <c r="DJ59" i="9"/>
  <c r="DK59" i="9"/>
  <c r="DL59" i="9"/>
  <c r="DM59" i="9"/>
  <c r="DN59" i="9"/>
  <c r="DO59" i="9"/>
  <c r="DP59" i="9"/>
  <c r="DQ59" i="9"/>
  <c r="DR59" i="9"/>
  <c r="DS59" i="9"/>
  <c r="DT59" i="9"/>
  <c r="DU59" i="9"/>
  <c r="DV59" i="9"/>
  <c r="DW59" i="9"/>
  <c r="DX59" i="9"/>
  <c r="DY59" i="9"/>
  <c r="DZ59" i="9"/>
  <c r="EA59" i="9"/>
  <c r="EB59" i="9"/>
  <c r="EC59" i="9"/>
  <c r="ED59" i="9"/>
  <c r="EE59" i="9"/>
  <c r="EF59" i="9"/>
  <c r="EG59" i="9"/>
  <c r="EH59" i="9"/>
  <c r="EI59" i="9"/>
  <c r="EJ59" i="9"/>
  <c r="EK59" i="9"/>
  <c r="EL59" i="9"/>
  <c r="EM59" i="9"/>
  <c r="EN59" i="9"/>
  <c r="EO59" i="9"/>
  <c r="EP59" i="9"/>
  <c r="EQ59" i="9"/>
  <c r="ER59" i="9"/>
  <c r="ES59" i="9"/>
  <c r="ET59" i="9"/>
  <c r="EU59" i="9"/>
  <c r="EV59" i="9"/>
  <c r="EW59" i="9"/>
  <c r="EX59" i="9"/>
  <c r="EY59" i="9"/>
  <c r="EZ59" i="9"/>
  <c r="FA59" i="9"/>
  <c r="FB59" i="9"/>
  <c r="FC59" i="9"/>
  <c r="FD59" i="9"/>
  <c r="FE59" i="9"/>
  <c r="FF59" i="9"/>
  <c r="FG59" i="9"/>
  <c r="FH59" i="9"/>
  <c r="FI59" i="9"/>
  <c r="FJ59" i="9"/>
  <c r="FK59" i="9"/>
  <c r="FL59" i="9"/>
  <c r="FM59" i="9"/>
  <c r="FN59" i="9"/>
  <c r="FO59" i="9"/>
  <c r="FP59" i="9"/>
  <c r="FQ59" i="9"/>
  <c r="FR59" i="9"/>
  <c r="FS59" i="9"/>
  <c r="FT59" i="9"/>
  <c r="FU59" i="9"/>
  <c r="FV59" i="9"/>
  <c r="FW59" i="9"/>
  <c r="FX59" i="9"/>
  <c r="FY59" i="9"/>
  <c r="FZ59" i="9"/>
  <c r="GA59" i="9"/>
  <c r="GB59" i="9"/>
  <c r="GC59" i="9"/>
  <c r="GD59" i="9"/>
  <c r="GE59" i="9"/>
  <c r="GF59" i="9"/>
  <c r="GG59" i="9"/>
  <c r="GH59" i="9"/>
  <c r="GI59" i="9"/>
  <c r="GJ59" i="9"/>
  <c r="GK59" i="9"/>
  <c r="GL59" i="9"/>
  <c r="GM59" i="9"/>
  <c r="GN59" i="9"/>
  <c r="GO59" i="9"/>
  <c r="GP59" i="9"/>
  <c r="GQ59" i="9"/>
  <c r="GR59" i="9"/>
  <c r="GS59" i="9"/>
  <c r="GT59" i="9"/>
  <c r="GU59" i="9"/>
  <c r="GV59" i="9"/>
  <c r="GW59" i="9"/>
  <c r="GX59" i="9"/>
  <c r="GY59" i="9"/>
  <c r="GZ59" i="9"/>
  <c r="HA59" i="9"/>
  <c r="HB59" i="9"/>
  <c r="HC59" i="9"/>
  <c r="HD59" i="9"/>
  <c r="HE59" i="9"/>
  <c r="HF59" i="9"/>
  <c r="HG59" i="9"/>
  <c r="HH59" i="9"/>
  <c r="HI59" i="9"/>
  <c r="HJ59" i="9"/>
  <c r="HK59" i="9"/>
  <c r="HL59" i="9"/>
  <c r="HM59" i="9"/>
  <c r="HN59" i="9"/>
  <c r="HO59" i="9"/>
  <c r="HP59" i="9"/>
  <c r="HQ59" i="9"/>
  <c r="HR59" i="9"/>
  <c r="HS59" i="9"/>
  <c r="HT59" i="9"/>
  <c r="HU59" i="9"/>
  <c r="HV59" i="9"/>
  <c r="HW59" i="9"/>
  <c r="HX59" i="9"/>
  <c r="HY59" i="9"/>
  <c r="HZ59" i="9"/>
  <c r="IA59" i="9"/>
  <c r="IB59" i="9"/>
  <c r="IC59" i="9"/>
  <c r="ID59" i="9"/>
  <c r="IE59" i="9"/>
  <c r="IF59" i="9"/>
  <c r="IG59" i="9"/>
  <c r="IH59" i="9"/>
  <c r="II59" i="9"/>
  <c r="IJ59" i="9"/>
  <c r="IK59" i="9"/>
  <c r="IL59" i="9"/>
  <c r="IM59" i="9"/>
  <c r="IN59" i="9"/>
  <c r="IO59" i="9"/>
  <c r="IP59" i="9"/>
  <c r="IQ59" i="9"/>
  <c r="IR59" i="9"/>
  <c r="IS59" i="9"/>
  <c r="IT59" i="9"/>
  <c r="IU59" i="9"/>
  <c r="IV59" i="9"/>
  <c r="A58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BI58" i="9"/>
  <c r="BJ58" i="9"/>
  <c r="BK58" i="9"/>
  <c r="BL58" i="9"/>
  <c r="BM58" i="9"/>
  <c r="BN58" i="9"/>
  <c r="BO58" i="9"/>
  <c r="BP58" i="9"/>
  <c r="BQ58" i="9"/>
  <c r="BR58" i="9"/>
  <c r="BS58" i="9"/>
  <c r="BT58" i="9"/>
  <c r="BU58" i="9"/>
  <c r="BV58" i="9"/>
  <c r="BW58" i="9"/>
  <c r="BX58" i="9"/>
  <c r="BY58" i="9"/>
  <c r="BZ58" i="9"/>
  <c r="CA58" i="9"/>
  <c r="CB58" i="9"/>
  <c r="CC58" i="9"/>
  <c r="CD58" i="9"/>
  <c r="CE58" i="9"/>
  <c r="CF58" i="9"/>
  <c r="CG58" i="9"/>
  <c r="CH58" i="9"/>
  <c r="CI58" i="9"/>
  <c r="CJ58" i="9"/>
  <c r="CK58" i="9"/>
  <c r="CL58" i="9"/>
  <c r="CM58" i="9"/>
  <c r="CN58" i="9"/>
  <c r="CO58" i="9"/>
  <c r="CP58" i="9"/>
  <c r="CQ58" i="9"/>
  <c r="CR58" i="9"/>
  <c r="CS58" i="9"/>
  <c r="CT58" i="9"/>
  <c r="CU58" i="9"/>
  <c r="CV58" i="9"/>
  <c r="CW58" i="9"/>
  <c r="CX58" i="9"/>
  <c r="CY58" i="9"/>
  <c r="CZ58" i="9"/>
  <c r="DA58" i="9"/>
  <c r="DB58" i="9"/>
  <c r="DC58" i="9"/>
  <c r="DD58" i="9"/>
  <c r="DE58" i="9"/>
  <c r="DF58" i="9"/>
  <c r="DG58" i="9"/>
  <c r="DH58" i="9"/>
  <c r="DI58" i="9"/>
  <c r="DJ58" i="9"/>
  <c r="DK58" i="9"/>
  <c r="DL58" i="9"/>
  <c r="DM58" i="9"/>
  <c r="DN58" i="9"/>
  <c r="DO58" i="9"/>
  <c r="DP58" i="9"/>
  <c r="DQ58" i="9"/>
  <c r="DR58" i="9"/>
  <c r="DS58" i="9"/>
  <c r="DT58" i="9"/>
  <c r="DU58" i="9"/>
  <c r="DV58" i="9"/>
  <c r="DW58" i="9"/>
  <c r="DX58" i="9"/>
  <c r="DY58" i="9"/>
  <c r="DZ58" i="9"/>
  <c r="EA58" i="9"/>
  <c r="EB58" i="9"/>
  <c r="EC58" i="9"/>
  <c r="ED58" i="9"/>
  <c r="EE58" i="9"/>
  <c r="EF58" i="9"/>
  <c r="EG58" i="9"/>
  <c r="EH58" i="9"/>
  <c r="EI58" i="9"/>
  <c r="EJ58" i="9"/>
  <c r="EK58" i="9"/>
  <c r="EL58" i="9"/>
  <c r="EM58" i="9"/>
  <c r="EN58" i="9"/>
  <c r="EO58" i="9"/>
  <c r="EP58" i="9"/>
  <c r="EQ58" i="9"/>
  <c r="ER58" i="9"/>
  <c r="ES58" i="9"/>
  <c r="ET58" i="9"/>
  <c r="EU58" i="9"/>
  <c r="EV58" i="9"/>
  <c r="EW58" i="9"/>
  <c r="EX58" i="9"/>
  <c r="EY58" i="9"/>
  <c r="EZ58" i="9"/>
  <c r="FA58" i="9"/>
  <c r="FB58" i="9"/>
  <c r="FC58" i="9"/>
  <c r="FD58" i="9"/>
  <c r="FE58" i="9"/>
  <c r="FF58" i="9"/>
  <c r="FG58" i="9"/>
  <c r="FH58" i="9"/>
  <c r="FI58" i="9"/>
  <c r="FJ58" i="9"/>
  <c r="FK58" i="9"/>
  <c r="FL58" i="9"/>
  <c r="FM58" i="9"/>
  <c r="FN58" i="9"/>
  <c r="FO58" i="9"/>
  <c r="FP58" i="9"/>
  <c r="FQ58" i="9"/>
  <c r="FR58" i="9"/>
  <c r="FS58" i="9"/>
  <c r="FT58" i="9"/>
  <c r="FU58" i="9"/>
  <c r="FV58" i="9"/>
  <c r="FW58" i="9"/>
  <c r="FX58" i="9"/>
  <c r="FY58" i="9"/>
  <c r="FZ58" i="9"/>
  <c r="GA58" i="9"/>
  <c r="GB58" i="9"/>
  <c r="GC58" i="9"/>
  <c r="GD58" i="9"/>
  <c r="GE58" i="9"/>
  <c r="GF58" i="9"/>
  <c r="GG58" i="9"/>
  <c r="GH58" i="9"/>
  <c r="GI58" i="9"/>
  <c r="GJ58" i="9"/>
  <c r="GK58" i="9"/>
  <c r="GL58" i="9"/>
  <c r="GM58" i="9"/>
  <c r="GN58" i="9"/>
  <c r="GO58" i="9"/>
  <c r="GP58" i="9"/>
  <c r="GQ58" i="9"/>
  <c r="GR58" i="9"/>
  <c r="GS58" i="9"/>
  <c r="GT58" i="9"/>
  <c r="GU58" i="9"/>
  <c r="GV58" i="9"/>
  <c r="GW58" i="9"/>
  <c r="GX58" i="9"/>
  <c r="GY58" i="9"/>
  <c r="GZ58" i="9"/>
  <c r="HA58" i="9"/>
  <c r="HB58" i="9"/>
  <c r="HC58" i="9"/>
  <c r="HD58" i="9"/>
  <c r="HE58" i="9"/>
  <c r="HF58" i="9"/>
  <c r="HG58" i="9"/>
  <c r="HH58" i="9"/>
  <c r="HI58" i="9"/>
  <c r="HJ58" i="9"/>
  <c r="HK58" i="9"/>
  <c r="HL58" i="9"/>
  <c r="HM58" i="9"/>
  <c r="HN58" i="9"/>
  <c r="HO58" i="9"/>
  <c r="HP58" i="9"/>
  <c r="HQ58" i="9"/>
  <c r="HR58" i="9"/>
  <c r="HS58" i="9"/>
  <c r="HT58" i="9"/>
  <c r="HU58" i="9"/>
  <c r="HV58" i="9"/>
  <c r="HW58" i="9"/>
  <c r="HX58" i="9"/>
  <c r="HY58" i="9"/>
  <c r="HZ58" i="9"/>
  <c r="IA58" i="9"/>
  <c r="IB58" i="9"/>
  <c r="IC58" i="9"/>
  <c r="ID58" i="9"/>
  <c r="IE58" i="9"/>
  <c r="IF58" i="9"/>
  <c r="IG58" i="9"/>
  <c r="IH58" i="9"/>
  <c r="II58" i="9"/>
  <c r="IJ58" i="9"/>
  <c r="IK58" i="9"/>
  <c r="IL58" i="9"/>
  <c r="IM58" i="9"/>
  <c r="IN58" i="9"/>
  <c r="IO58" i="9"/>
  <c r="IP58" i="9"/>
  <c r="IQ58" i="9"/>
  <c r="IR58" i="9"/>
  <c r="IS58" i="9"/>
  <c r="IT58" i="9"/>
  <c r="IU58" i="9"/>
  <c r="IV58" i="9"/>
  <c r="A57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EE57" i="9"/>
  <c r="EF57" i="9"/>
  <c r="EG57" i="9"/>
  <c r="EH57" i="9"/>
  <c r="EI57" i="9"/>
  <c r="EJ57" i="9"/>
  <c r="EK57" i="9"/>
  <c r="EL57" i="9"/>
  <c r="EM57" i="9"/>
  <c r="EN57" i="9"/>
  <c r="EO57" i="9"/>
  <c r="EP57" i="9"/>
  <c r="EQ57" i="9"/>
  <c r="ER57" i="9"/>
  <c r="ES57" i="9"/>
  <c r="ET57" i="9"/>
  <c r="EU57" i="9"/>
  <c r="EV57" i="9"/>
  <c r="EW57" i="9"/>
  <c r="EX57" i="9"/>
  <c r="EY57" i="9"/>
  <c r="EZ57" i="9"/>
  <c r="FA57" i="9"/>
  <c r="FB57" i="9"/>
  <c r="FC57" i="9"/>
  <c r="FD57" i="9"/>
  <c r="FE57" i="9"/>
  <c r="FF57" i="9"/>
  <c r="FG57" i="9"/>
  <c r="FH57" i="9"/>
  <c r="FI57" i="9"/>
  <c r="FJ57" i="9"/>
  <c r="FK57" i="9"/>
  <c r="FL57" i="9"/>
  <c r="FM57" i="9"/>
  <c r="FN57" i="9"/>
  <c r="FO57" i="9"/>
  <c r="FP57" i="9"/>
  <c r="FQ57" i="9"/>
  <c r="FR57" i="9"/>
  <c r="FS57" i="9"/>
  <c r="FT57" i="9"/>
  <c r="FU57" i="9"/>
  <c r="FV57" i="9"/>
  <c r="FW57" i="9"/>
  <c r="FX57" i="9"/>
  <c r="FY57" i="9"/>
  <c r="FZ57" i="9"/>
  <c r="GA57" i="9"/>
  <c r="GB57" i="9"/>
  <c r="GC57" i="9"/>
  <c r="GD57" i="9"/>
  <c r="GE57" i="9"/>
  <c r="GF57" i="9"/>
  <c r="GG57" i="9"/>
  <c r="GH57" i="9"/>
  <c r="GI57" i="9"/>
  <c r="GJ57" i="9"/>
  <c r="GK57" i="9"/>
  <c r="GL57" i="9"/>
  <c r="GM57" i="9"/>
  <c r="GN57" i="9"/>
  <c r="GO57" i="9"/>
  <c r="GP57" i="9"/>
  <c r="GQ57" i="9"/>
  <c r="GR57" i="9"/>
  <c r="GS57" i="9"/>
  <c r="GT57" i="9"/>
  <c r="GU57" i="9"/>
  <c r="GV57" i="9"/>
  <c r="GW57" i="9"/>
  <c r="GX57" i="9"/>
  <c r="GY57" i="9"/>
  <c r="GZ57" i="9"/>
  <c r="HA57" i="9"/>
  <c r="HB57" i="9"/>
  <c r="HC57" i="9"/>
  <c r="HD57" i="9"/>
  <c r="HE57" i="9"/>
  <c r="HF57" i="9"/>
  <c r="HG57" i="9"/>
  <c r="HH57" i="9"/>
  <c r="HI57" i="9"/>
  <c r="HJ57" i="9"/>
  <c r="HK57" i="9"/>
  <c r="HL57" i="9"/>
  <c r="HM57" i="9"/>
  <c r="HN57" i="9"/>
  <c r="HO57" i="9"/>
  <c r="HP57" i="9"/>
  <c r="HQ57" i="9"/>
  <c r="HR57" i="9"/>
  <c r="HS57" i="9"/>
  <c r="HT57" i="9"/>
  <c r="HU57" i="9"/>
  <c r="HV57" i="9"/>
  <c r="HW57" i="9"/>
  <c r="HX57" i="9"/>
  <c r="HY57" i="9"/>
  <c r="HZ57" i="9"/>
  <c r="IA57" i="9"/>
  <c r="IB57" i="9"/>
  <c r="IC57" i="9"/>
  <c r="ID57" i="9"/>
  <c r="IE57" i="9"/>
  <c r="IF57" i="9"/>
  <c r="IG57" i="9"/>
  <c r="IH57" i="9"/>
  <c r="II57" i="9"/>
  <c r="IJ57" i="9"/>
  <c r="IK57" i="9"/>
  <c r="IL57" i="9"/>
  <c r="IM57" i="9"/>
  <c r="IN57" i="9"/>
  <c r="IO57" i="9"/>
  <c r="IP57" i="9"/>
  <c r="IQ57" i="9"/>
  <c r="IR57" i="9"/>
  <c r="IS57" i="9"/>
  <c r="IT57" i="9"/>
  <c r="IU57" i="9"/>
  <c r="IV57" i="9"/>
  <c r="A56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BH56" i="9"/>
  <c r="BI56" i="9"/>
  <c r="BJ56" i="9"/>
  <c r="BK56" i="9"/>
  <c r="BL56" i="9"/>
  <c r="BM56" i="9"/>
  <c r="BN56" i="9"/>
  <c r="BO56" i="9"/>
  <c r="BP56" i="9"/>
  <c r="BQ56" i="9"/>
  <c r="BR56" i="9"/>
  <c r="BS56" i="9"/>
  <c r="BT56" i="9"/>
  <c r="BU56" i="9"/>
  <c r="BV56" i="9"/>
  <c r="BW56" i="9"/>
  <c r="BX56" i="9"/>
  <c r="BY56" i="9"/>
  <c r="BZ56" i="9"/>
  <c r="CA56" i="9"/>
  <c r="CB56" i="9"/>
  <c r="CC56" i="9"/>
  <c r="CD56" i="9"/>
  <c r="CE56" i="9"/>
  <c r="CF56" i="9"/>
  <c r="CG56" i="9"/>
  <c r="CH56" i="9"/>
  <c r="CI56" i="9"/>
  <c r="CJ56" i="9"/>
  <c r="CK56" i="9"/>
  <c r="CL56" i="9"/>
  <c r="CM56" i="9"/>
  <c r="CN56" i="9"/>
  <c r="CO56" i="9"/>
  <c r="CP56" i="9"/>
  <c r="CQ56" i="9"/>
  <c r="CR56" i="9"/>
  <c r="CS56" i="9"/>
  <c r="CT56" i="9"/>
  <c r="CU56" i="9"/>
  <c r="CV56" i="9"/>
  <c r="CW56" i="9"/>
  <c r="CX56" i="9"/>
  <c r="CY56" i="9"/>
  <c r="CZ56" i="9"/>
  <c r="DA56" i="9"/>
  <c r="DB56" i="9"/>
  <c r="DC56" i="9"/>
  <c r="DD56" i="9"/>
  <c r="DE56" i="9"/>
  <c r="DF56" i="9"/>
  <c r="DG56" i="9"/>
  <c r="DH56" i="9"/>
  <c r="DI56" i="9"/>
  <c r="DJ56" i="9"/>
  <c r="DK56" i="9"/>
  <c r="DL56" i="9"/>
  <c r="DM56" i="9"/>
  <c r="DN56" i="9"/>
  <c r="DO56" i="9"/>
  <c r="DP56" i="9"/>
  <c r="DQ56" i="9"/>
  <c r="DR56" i="9"/>
  <c r="DS56" i="9"/>
  <c r="DT56" i="9"/>
  <c r="DU56" i="9"/>
  <c r="DV56" i="9"/>
  <c r="DW56" i="9"/>
  <c r="DX56" i="9"/>
  <c r="DY56" i="9"/>
  <c r="DZ56" i="9"/>
  <c r="EA56" i="9"/>
  <c r="EB56" i="9"/>
  <c r="EC56" i="9"/>
  <c r="ED56" i="9"/>
  <c r="EE56" i="9"/>
  <c r="EF56" i="9"/>
  <c r="EG56" i="9"/>
  <c r="EH56" i="9"/>
  <c r="EI56" i="9"/>
  <c r="EJ56" i="9"/>
  <c r="EK56" i="9"/>
  <c r="EL56" i="9"/>
  <c r="EM56" i="9"/>
  <c r="EN56" i="9"/>
  <c r="EO56" i="9"/>
  <c r="EP56" i="9"/>
  <c r="EQ56" i="9"/>
  <c r="ER56" i="9"/>
  <c r="ES56" i="9"/>
  <c r="ET56" i="9"/>
  <c r="EU56" i="9"/>
  <c r="EV56" i="9"/>
  <c r="EW56" i="9"/>
  <c r="EX56" i="9"/>
  <c r="EY56" i="9"/>
  <c r="EZ56" i="9"/>
  <c r="FA56" i="9"/>
  <c r="FB56" i="9"/>
  <c r="FC56" i="9"/>
  <c r="FD56" i="9"/>
  <c r="FE56" i="9"/>
  <c r="FF56" i="9"/>
  <c r="FG56" i="9"/>
  <c r="FH56" i="9"/>
  <c r="FI56" i="9"/>
  <c r="FJ56" i="9"/>
  <c r="FK56" i="9"/>
  <c r="FL56" i="9"/>
  <c r="FM56" i="9"/>
  <c r="FN56" i="9"/>
  <c r="FO56" i="9"/>
  <c r="FP56" i="9"/>
  <c r="FQ56" i="9"/>
  <c r="FR56" i="9"/>
  <c r="FS56" i="9"/>
  <c r="FT56" i="9"/>
  <c r="FU56" i="9"/>
  <c r="FV56" i="9"/>
  <c r="FW56" i="9"/>
  <c r="FX56" i="9"/>
  <c r="FY56" i="9"/>
  <c r="FZ56" i="9"/>
  <c r="GA56" i="9"/>
  <c r="GB56" i="9"/>
  <c r="GC56" i="9"/>
  <c r="GD56" i="9"/>
  <c r="GE56" i="9"/>
  <c r="GF56" i="9"/>
  <c r="GG56" i="9"/>
  <c r="GH56" i="9"/>
  <c r="GI56" i="9"/>
  <c r="GJ56" i="9"/>
  <c r="GK56" i="9"/>
  <c r="GL56" i="9"/>
  <c r="GM56" i="9"/>
  <c r="GN56" i="9"/>
  <c r="GO56" i="9"/>
  <c r="GP56" i="9"/>
  <c r="GQ56" i="9"/>
  <c r="GR56" i="9"/>
  <c r="GS56" i="9"/>
  <c r="GT56" i="9"/>
  <c r="GU56" i="9"/>
  <c r="GV56" i="9"/>
  <c r="GW56" i="9"/>
  <c r="GX56" i="9"/>
  <c r="GY56" i="9"/>
  <c r="GZ56" i="9"/>
  <c r="HA56" i="9"/>
  <c r="HB56" i="9"/>
  <c r="HC56" i="9"/>
  <c r="HD56" i="9"/>
  <c r="HE56" i="9"/>
  <c r="HF56" i="9"/>
  <c r="HG56" i="9"/>
  <c r="HH56" i="9"/>
  <c r="HI56" i="9"/>
  <c r="HJ56" i="9"/>
  <c r="HK56" i="9"/>
  <c r="HL56" i="9"/>
  <c r="HM56" i="9"/>
  <c r="HN56" i="9"/>
  <c r="HO56" i="9"/>
  <c r="HP56" i="9"/>
  <c r="HQ56" i="9"/>
  <c r="HR56" i="9"/>
  <c r="HS56" i="9"/>
  <c r="HT56" i="9"/>
  <c r="HU56" i="9"/>
  <c r="HV56" i="9"/>
  <c r="HW56" i="9"/>
  <c r="HX56" i="9"/>
  <c r="HY56" i="9"/>
  <c r="HZ56" i="9"/>
  <c r="IA56" i="9"/>
  <c r="IB56" i="9"/>
  <c r="IC56" i="9"/>
  <c r="ID56" i="9"/>
  <c r="IE56" i="9"/>
  <c r="IF56" i="9"/>
  <c r="IG56" i="9"/>
  <c r="IH56" i="9"/>
  <c r="II56" i="9"/>
  <c r="IJ56" i="9"/>
  <c r="IK56" i="9"/>
  <c r="IL56" i="9"/>
  <c r="IM56" i="9"/>
  <c r="IN56" i="9"/>
  <c r="IO56" i="9"/>
  <c r="IP56" i="9"/>
  <c r="IQ56" i="9"/>
  <c r="IR56" i="9"/>
  <c r="IS56" i="9"/>
  <c r="IT56" i="9"/>
  <c r="IU56" i="9"/>
  <c r="IV56" i="9"/>
  <c r="A55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BG55" i="9"/>
  <c r="BH55" i="9"/>
  <c r="BI55" i="9"/>
  <c r="BJ55" i="9"/>
  <c r="BK55" i="9"/>
  <c r="BL55" i="9"/>
  <c r="BM55" i="9"/>
  <c r="BN55" i="9"/>
  <c r="BO55" i="9"/>
  <c r="BP55" i="9"/>
  <c r="BQ55" i="9"/>
  <c r="BR55" i="9"/>
  <c r="BS55" i="9"/>
  <c r="BT55" i="9"/>
  <c r="BU55" i="9"/>
  <c r="BV55" i="9"/>
  <c r="BW55" i="9"/>
  <c r="BX55" i="9"/>
  <c r="BY55" i="9"/>
  <c r="BZ55" i="9"/>
  <c r="CA55" i="9"/>
  <c r="CB55" i="9"/>
  <c r="CC55" i="9"/>
  <c r="CD55" i="9"/>
  <c r="CE55" i="9"/>
  <c r="CF55" i="9"/>
  <c r="CG55" i="9"/>
  <c r="CH55" i="9"/>
  <c r="CI55" i="9"/>
  <c r="CJ55" i="9"/>
  <c r="CK55" i="9"/>
  <c r="CL55" i="9"/>
  <c r="CM55" i="9"/>
  <c r="CN55" i="9"/>
  <c r="CO55" i="9"/>
  <c r="CP55" i="9"/>
  <c r="CQ55" i="9"/>
  <c r="CR55" i="9"/>
  <c r="CS55" i="9"/>
  <c r="CT55" i="9"/>
  <c r="CU55" i="9"/>
  <c r="CV55" i="9"/>
  <c r="CW55" i="9"/>
  <c r="CX55" i="9"/>
  <c r="CY55" i="9"/>
  <c r="CZ55" i="9"/>
  <c r="DA55" i="9"/>
  <c r="DB55" i="9"/>
  <c r="DC55" i="9"/>
  <c r="DD55" i="9"/>
  <c r="DE55" i="9"/>
  <c r="DF55" i="9"/>
  <c r="DG55" i="9"/>
  <c r="DH55" i="9"/>
  <c r="DI55" i="9"/>
  <c r="DJ55" i="9"/>
  <c r="DK55" i="9"/>
  <c r="DL55" i="9"/>
  <c r="DM55" i="9"/>
  <c r="DN55" i="9"/>
  <c r="DO55" i="9"/>
  <c r="DP55" i="9"/>
  <c r="DQ55" i="9"/>
  <c r="DR55" i="9"/>
  <c r="DS55" i="9"/>
  <c r="DT55" i="9"/>
  <c r="DU55" i="9"/>
  <c r="DV55" i="9"/>
  <c r="DW55" i="9"/>
  <c r="DX55" i="9"/>
  <c r="DY55" i="9"/>
  <c r="DZ55" i="9"/>
  <c r="EA55" i="9"/>
  <c r="EB55" i="9"/>
  <c r="EC55" i="9"/>
  <c r="ED55" i="9"/>
  <c r="EE55" i="9"/>
  <c r="EF55" i="9"/>
  <c r="EG55" i="9"/>
  <c r="EH55" i="9"/>
  <c r="EI55" i="9"/>
  <c r="EJ55" i="9"/>
  <c r="EK55" i="9"/>
  <c r="EL55" i="9"/>
  <c r="EM55" i="9"/>
  <c r="EN55" i="9"/>
  <c r="EO55" i="9"/>
  <c r="EP55" i="9"/>
  <c r="EQ55" i="9"/>
  <c r="ER55" i="9"/>
  <c r="ES55" i="9"/>
  <c r="ET55" i="9"/>
  <c r="EU55" i="9"/>
  <c r="EV55" i="9"/>
  <c r="EW55" i="9"/>
  <c r="EX55" i="9"/>
  <c r="EY55" i="9"/>
  <c r="EZ55" i="9"/>
  <c r="FA55" i="9"/>
  <c r="FB55" i="9"/>
  <c r="FC55" i="9"/>
  <c r="FD55" i="9"/>
  <c r="FE55" i="9"/>
  <c r="FF55" i="9"/>
  <c r="FG55" i="9"/>
  <c r="FH55" i="9"/>
  <c r="FI55" i="9"/>
  <c r="FJ55" i="9"/>
  <c r="FK55" i="9"/>
  <c r="FL55" i="9"/>
  <c r="FM55" i="9"/>
  <c r="FN55" i="9"/>
  <c r="FO55" i="9"/>
  <c r="FP55" i="9"/>
  <c r="FQ55" i="9"/>
  <c r="FR55" i="9"/>
  <c r="FS55" i="9"/>
  <c r="FT55" i="9"/>
  <c r="FU55" i="9"/>
  <c r="FV55" i="9"/>
  <c r="FW55" i="9"/>
  <c r="FX55" i="9"/>
  <c r="FY55" i="9"/>
  <c r="FZ55" i="9"/>
  <c r="GA55" i="9"/>
  <c r="GB55" i="9"/>
  <c r="GC55" i="9"/>
  <c r="GD55" i="9"/>
  <c r="GE55" i="9"/>
  <c r="GF55" i="9"/>
  <c r="GG55" i="9"/>
  <c r="GH55" i="9"/>
  <c r="GI55" i="9"/>
  <c r="GJ55" i="9"/>
  <c r="GK55" i="9"/>
  <c r="GL55" i="9"/>
  <c r="GM55" i="9"/>
  <c r="GN55" i="9"/>
  <c r="GO55" i="9"/>
  <c r="GP55" i="9"/>
  <c r="GQ55" i="9"/>
  <c r="GR55" i="9"/>
  <c r="GS55" i="9"/>
  <c r="GT55" i="9"/>
  <c r="GU55" i="9"/>
  <c r="GV55" i="9"/>
  <c r="GW55" i="9"/>
  <c r="GX55" i="9"/>
  <c r="GY55" i="9"/>
  <c r="GZ55" i="9"/>
  <c r="HA55" i="9"/>
  <c r="HB55" i="9"/>
  <c r="HC55" i="9"/>
  <c r="HD55" i="9"/>
  <c r="HE55" i="9"/>
  <c r="HF55" i="9"/>
  <c r="HG55" i="9"/>
  <c r="HH55" i="9"/>
  <c r="HI55" i="9"/>
  <c r="HJ55" i="9"/>
  <c r="HK55" i="9"/>
  <c r="HL55" i="9"/>
  <c r="HM55" i="9"/>
  <c r="HN55" i="9"/>
  <c r="HO55" i="9"/>
  <c r="HP55" i="9"/>
  <c r="HQ55" i="9"/>
  <c r="HR55" i="9"/>
  <c r="HS55" i="9"/>
  <c r="HT55" i="9"/>
  <c r="HU55" i="9"/>
  <c r="HV55" i="9"/>
  <c r="HW55" i="9"/>
  <c r="HX55" i="9"/>
  <c r="HY55" i="9"/>
  <c r="HZ55" i="9"/>
  <c r="IA55" i="9"/>
  <c r="IB55" i="9"/>
  <c r="IC55" i="9"/>
  <c r="ID55" i="9"/>
  <c r="IE55" i="9"/>
  <c r="IF55" i="9"/>
  <c r="IG55" i="9"/>
  <c r="IH55" i="9"/>
  <c r="II55" i="9"/>
  <c r="IJ55" i="9"/>
  <c r="IK55" i="9"/>
  <c r="IL55" i="9"/>
  <c r="IM55" i="9"/>
  <c r="IN55" i="9"/>
  <c r="IO55" i="9"/>
  <c r="IP55" i="9"/>
  <c r="IQ55" i="9"/>
  <c r="IR55" i="9"/>
  <c r="IS55" i="9"/>
  <c r="IT55" i="9"/>
  <c r="IU55" i="9"/>
  <c r="IV55" i="9"/>
  <c r="A54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BF54" i="9"/>
  <c r="BG54" i="9"/>
  <c r="BH54" i="9"/>
  <c r="BI54" i="9"/>
  <c r="BJ54" i="9"/>
  <c r="BK54" i="9"/>
  <c r="BL54" i="9"/>
  <c r="BM54" i="9"/>
  <c r="BN54" i="9"/>
  <c r="BO54" i="9"/>
  <c r="BP54" i="9"/>
  <c r="BQ54" i="9"/>
  <c r="BR54" i="9"/>
  <c r="BS54" i="9"/>
  <c r="BT54" i="9"/>
  <c r="BU54" i="9"/>
  <c r="BV54" i="9"/>
  <c r="BW54" i="9"/>
  <c r="BX54" i="9"/>
  <c r="BY54" i="9"/>
  <c r="BZ54" i="9"/>
  <c r="CA54" i="9"/>
  <c r="CB54" i="9"/>
  <c r="CC54" i="9"/>
  <c r="CD54" i="9"/>
  <c r="CE54" i="9"/>
  <c r="CF54" i="9"/>
  <c r="CG54" i="9"/>
  <c r="CH54" i="9"/>
  <c r="CI54" i="9"/>
  <c r="CJ54" i="9"/>
  <c r="CK54" i="9"/>
  <c r="CL54" i="9"/>
  <c r="CM54" i="9"/>
  <c r="CN54" i="9"/>
  <c r="CO54" i="9"/>
  <c r="CP54" i="9"/>
  <c r="CQ54" i="9"/>
  <c r="CR54" i="9"/>
  <c r="CS54" i="9"/>
  <c r="CT54" i="9"/>
  <c r="CU54" i="9"/>
  <c r="CV54" i="9"/>
  <c r="CW54" i="9"/>
  <c r="CX54" i="9"/>
  <c r="CY54" i="9"/>
  <c r="CZ54" i="9"/>
  <c r="DA54" i="9"/>
  <c r="DB54" i="9"/>
  <c r="DC54" i="9"/>
  <c r="DD54" i="9"/>
  <c r="DE54" i="9"/>
  <c r="DF54" i="9"/>
  <c r="DG54" i="9"/>
  <c r="DH54" i="9"/>
  <c r="DI54" i="9"/>
  <c r="DJ54" i="9"/>
  <c r="DK54" i="9"/>
  <c r="DL54" i="9"/>
  <c r="DM54" i="9"/>
  <c r="DN54" i="9"/>
  <c r="DO54" i="9"/>
  <c r="DP54" i="9"/>
  <c r="DQ54" i="9"/>
  <c r="DR54" i="9"/>
  <c r="DS54" i="9"/>
  <c r="DT54" i="9"/>
  <c r="DU54" i="9"/>
  <c r="DV54" i="9"/>
  <c r="DW54" i="9"/>
  <c r="DX54" i="9"/>
  <c r="DY54" i="9"/>
  <c r="DZ54" i="9"/>
  <c r="EA54" i="9"/>
  <c r="EB54" i="9"/>
  <c r="EC54" i="9"/>
  <c r="ED54" i="9"/>
  <c r="EE54" i="9"/>
  <c r="EF54" i="9"/>
  <c r="EG54" i="9"/>
  <c r="EH54" i="9"/>
  <c r="EI54" i="9"/>
  <c r="EJ54" i="9"/>
  <c r="EK54" i="9"/>
  <c r="EL54" i="9"/>
  <c r="EM54" i="9"/>
  <c r="EN54" i="9"/>
  <c r="EO54" i="9"/>
  <c r="EP54" i="9"/>
  <c r="EQ54" i="9"/>
  <c r="ER54" i="9"/>
  <c r="ES54" i="9"/>
  <c r="ET54" i="9"/>
  <c r="EU54" i="9"/>
  <c r="EV54" i="9"/>
  <c r="EW54" i="9"/>
  <c r="EX54" i="9"/>
  <c r="EY54" i="9"/>
  <c r="EZ54" i="9"/>
  <c r="FA54" i="9"/>
  <c r="FB54" i="9"/>
  <c r="FC54" i="9"/>
  <c r="FD54" i="9"/>
  <c r="FE54" i="9"/>
  <c r="FF54" i="9"/>
  <c r="FG54" i="9"/>
  <c r="FH54" i="9"/>
  <c r="FI54" i="9"/>
  <c r="FJ54" i="9"/>
  <c r="FK54" i="9"/>
  <c r="FL54" i="9"/>
  <c r="FM54" i="9"/>
  <c r="FN54" i="9"/>
  <c r="FO54" i="9"/>
  <c r="FP54" i="9"/>
  <c r="FQ54" i="9"/>
  <c r="FR54" i="9"/>
  <c r="FS54" i="9"/>
  <c r="FT54" i="9"/>
  <c r="FU54" i="9"/>
  <c r="FV54" i="9"/>
  <c r="FW54" i="9"/>
  <c r="FX54" i="9"/>
  <c r="FY54" i="9"/>
  <c r="FZ54" i="9"/>
  <c r="GA54" i="9"/>
  <c r="GB54" i="9"/>
  <c r="GC54" i="9"/>
  <c r="GD54" i="9"/>
  <c r="GE54" i="9"/>
  <c r="GF54" i="9"/>
  <c r="GG54" i="9"/>
  <c r="GH54" i="9"/>
  <c r="GI54" i="9"/>
  <c r="GJ54" i="9"/>
  <c r="GK54" i="9"/>
  <c r="GL54" i="9"/>
  <c r="GM54" i="9"/>
  <c r="GN54" i="9"/>
  <c r="GO54" i="9"/>
  <c r="GP54" i="9"/>
  <c r="GQ54" i="9"/>
  <c r="GR54" i="9"/>
  <c r="GS54" i="9"/>
  <c r="GT54" i="9"/>
  <c r="GU54" i="9"/>
  <c r="GV54" i="9"/>
  <c r="GW54" i="9"/>
  <c r="GX54" i="9"/>
  <c r="GY54" i="9"/>
  <c r="GZ54" i="9"/>
  <c r="HA54" i="9"/>
  <c r="HB54" i="9"/>
  <c r="HC54" i="9"/>
  <c r="HD54" i="9"/>
  <c r="HE54" i="9"/>
  <c r="HF54" i="9"/>
  <c r="HG54" i="9"/>
  <c r="HH54" i="9"/>
  <c r="HI54" i="9"/>
  <c r="HJ54" i="9"/>
  <c r="HK54" i="9"/>
  <c r="HL54" i="9"/>
  <c r="HM54" i="9"/>
  <c r="HN54" i="9"/>
  <c r="HO54" i="9"/>
  <c r="HP54" i="9"/>
  <c r="HQ54" i="9"/>
  <c r="HR54" i="9"/>
  <c r="HS54" i="9"/>
  <c r="HT54" i="9"/>
  <c r="HU54" i="9"/>
  <c r="HV54" i="9"/>
  <c r="HW54" i="9"/>
  <c r="HX54" i="9"/>
  <c r="HY54" i="9"/>
  <c r="HZ54" i="9"/>
  <c r="IA54" i="9"/>
  <c r="IB54" i="9"/>
  <c r="IC54" i="9"/>
  <c r="ID54" i="9"/>
  <c r="IE54" i="9"/>
  <c r="IF54" i="9"/>
  <c r="IG54" i="9"/>
  <c r="IH54" i="9"/>
  <c r="II54" i="9"/>
  <c r="IJ54" i="9"/>
  <c r="IK54" i="9"/>
  <c r="IL54" i="9"/>
  <c r="IM54" i="9"/>
  <c r="IN54" i="9"/>
  <c r="IO54" i="9"/>
  <c r="IP54" i="9"/>
  <c r="IQ54" i="9"/>
  <c r="IR54" i="9"/>
  <c r="IS54" i="9"/>
  <c r="IT54" i="9"/>
  <c r="IU54" i="9"/>
  <c r="IV54" i="9"/>
  <c r="A53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E53" i="9"/>
  <c r="BF53" i="9"/>
  <c r="BG53" i="9"/>
  <c r="BH53" i="9"/>
  <c r="BI53" i="9"/>
  <c r="BJ53" i="9"/>
  <c r="BK53" i="9"/>
  <c r="BL53" i="9"/>
  <c r="BM53" i="9"/>
  <c r="BN53" i="9"/>
  <c r="BO53" i="9"/>
  <c r="BP53" i="9"/>
  <c r="BQ53" i="9"/>
  <c r="BR53" i="9"/>
  <c r="BS53" i="9"/>
  <c r="BT53" i="9"/>
  <c r="BU53" i="9"/>
  <c r="BV53" i="9"/>
  <c r="BW53" i="9"/>
  <c r="BX53" i="9"/>
  <c r="BY53" i="9"/>
  <c r="BZ53" i="9"/>
  <c r="CA53" i="9"/>
  <c r="CB53" i="9"/>
  <c r="CC53" i="9"/>
  <c r="CD53" i="9"/>
  <c r="CE53" i="9"/>
  <c r="CF53" i="9"/>
  <c r="CG53" i="9"/>
  <c r="CH53" i="9"/>
  <c r="CI53" i="9"/>
  <c r="CJ53" i="9"/>
  <c r="CK53" i="9"/>
  <c r="CL53" i="9"/>
  <c r="CM53" i="9"/>
  <c r="CN53" i="9"/>
  <c r="CO53" i="9"/>
  <c r="CP53" i="9"/>
  <c r="CQ53" i="9"/>
  <c r="CR53" i="9"/>
  <c r="CS53" i="9"/>
  <c r="CT53" i="9"/>
  <c r="CU53" i="9"/>
  <c r="CV53" i="9"/>
  <c r="CW53" i="9"/>
  <c r="CX53" i="9"/>
  <c r="CY53" i="9"/>
  <c r="CZ53" i="9"/>
  <c r="DA53" i="9"/>
  <c r="DB53" i="9"/>
  <c r="DC53" i="9"/>
  <c r="DD53" i="9"/>
  <c r="DE53" i="9"/>
  <c r="DF53" i="9"/>
  <c r="DG53" i="9"/>
  <c r="DH53" i="9"/>
  <c r="DI53" i="9"/>
  <c r="DJ53" i="9"/>
  <c r="DK53" i="9"/>
  <c r="DL53" i="9"/>
  <c r="DM53" i="9"/>
  <c r="DN53" i="9"/>
  <c r="DO53" i="9"/>
  <c r="DP53" i="9"/>
  <c r="DQ53" i="9"/>
  <c r="DR53" i="9"/>
  <c r="DS53" i="9"/>
  <c r="DT53" i="9"/>
  <c r="DU53" i="9"/>
  <c r="DV53" i="9"/>
  <c r="DW53" i="9"/>
  <c r="DX53" i="9"/>
  <c r="DY53" i="9"/>
  <c r="DZ53" i="9"/>
  <c r="EA53" i="9"/>
  <c r="EB53" i="9"/>
  <c r="EC53" i="9"/>
  <c r="ED53" i="9"/>
  <c r="EE53" i="9"/>
  <c r="EF53" i="9"/>
  <c r="EG53" i="9"/>
  <c r="EH53" i="9"/>
  <c r="EI53" i="9"/>
  <c r="EJ53" i="9"/>
  <c r="EK53" i="9"/>
  <c r="EL53" i="9"/>
  <c r="EM53" i="9"/>
  <c r="EN53" i="9"/>
  <c r="EO53" i="9"/>
  <c r="EP53" i="9"/>
  <c r="EQ53" i="9"/>
  <c r="ER53" i="9"/>
  <c r="ES53" i="9"/>
  <c r="ET53" i="9"/>
  <c r="EU53" i="9"/>
  <c r="EV53" i="9"/>
  <c r="EW53" i="9"/>
  <c r="EX53" i="9"/>
  <c r="EY53" i="9"/>
  <c r="EZ53" i="9"/>
  <c r="FA53" i="9"/>
  <c r="FB53" i="9"/>
  <c r="FC53" i="9"/>
  <c r="FD53" i="9"/>
  <c r="FE53" i="9"/>
  <c r="FF53" i="9"/>
  <c r="FG53" i="9"/>
  <c r="FH53" i="9"/>
  <c r="FI53" i="9"/>
  <c r="FJ53" i="9"/>
  <c r="FK53" i="9"/>
  <c r="FL53" i="9"/>
  <c r="FM53" i="9"/>
  <c r="FN53" i="9"/>
  <c r="FO53" i="9"/>
  <c r="FP53" i="9"/>
  <c r="FQ53" i="9"/>
  <c r="FR53" i="9"/>
  <c r="FS53" i="9"/>
  <c r="FT53" i="9"/>
  <c r="FU53" i="9"/>
  <c r="FV53" i="9"/>
  <c r="FW53" i="9"/>
  <c r="FX53" i="9"/>
  <c r="FY53" i="9"/>
  <c r="FZ53" i="9"/>
  <c r="GA53" i="9"/>
  <c r="GB53" i="9"/>
  <c r="GC53" i="9"/>
  <c r="GD53" i="9"/>
  <c r="GE53" i="9"/>
  <c r="GF53" i="9"/>
  <c r="GG53" i="9"/>
  <c r="GH53" i="9"/>
  <c r="GI53" i="9"/>
  <c r="GJ53" i="9"/>
  <c r="GK53" i="9"/>
  <c r="GL53" i="9"/>
  <c r="GM53" i="9"/>
  <c r="GN53" i="9"/>
  <c r="GO53" i="9"/>
  <c r="GP53" i="9"/>
  <c r="GQ53" i="9"/>
  <c r="GR53" i="9"/>
  <c r="GS53" i="9"/>
  <c r="GT53" i="9"/>
  <c r="GU53" i="9"/>
  <c r="GV53" i="9"/>
  <c r="GW53" i="9"/>
  <c r="GX53" i="9"/>
  <c r="GY53" i="9"/>
  <c r="GZ53" i="9"/>
  <c r="HA53" i="9"/>
  <c r="HB53" i="9"/>
  <c r="HC53" i="9"/>
  <c r="HD53" i="9"/>
  <c r="HE53" i="9"/>
  <c r="HF53" i="9"/>
  <c r="HG53" i="9"/>
  <c r="HH53" i="9"/>
  <c r="HI53" i="9"/>
  <c r="HJ53" i="9"/>
  <c r="HK53" i="9"/>
  <c r="HL53" i="9"/>
  <c r="HM53" i="9"/>
  <c r="HN53" i="9"/>
  <c r="HO53" i="9"/>
  <c r="HP53" i="9"/>
  <c r="HQ53" i="9"/>
  <c r="HR53" i="9"/>
  <c r="HS53" i="9"/>
  <c r="HT53" i="9"/>
  <c r="HU53" i="9"/>
  <c r="HV53" i="9"/>
  <c r="HW53" i="9"/>
  <c r="HX53" i="9"/>
  <c r="HY53" i="9"/>
  <c r="HZ53" i="9"/>
  <c r="IA53" i="9"/>
  <c r="IB53" i="9"/>
  <c r="IC53" i="9"/>
  <c r="ID53" i="9"/>
  <c r="IE53" i="9"/>
  <c r="IF53" i="9"/>
  <c r="IG53" i="9"/>
  <c r="IH53" i="9"/>
  <c r="II53" i="9"/>
  <c r="IJ53" i="9"/>
  <c r="IK53" i="9"/>
  <c r="IL53" i="9"/>
  <c r="IM53" i="9"/>
  <c r="IN53" i="9"/>
  <c r="IO53" i="9"/>
  <c r="IP53" i="9"/>
  <c r="IQ53" i="9"/>
  <c r="IR53" i="9"/>
  <c r="IS53" i="9"/>
  <c r="IT53" i="9"/>
  <c r="IU53" i="9"/>
  <c r="IV53" i="9"/>
  <c r="A52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BD52" i="9"/>
  <c r="BE52" i="9"/>
  <c r="BF52" i="9"/>
  <c r="BG52" i="9"/>
  <c r="BH52" i="9"/>
  <c r="BI52" i="9"/>
  <c r="BJ52" i="9"/>
  <c r="BK52" i="9"/>
  <c r="BL52" i="9"/>
  <c r="BM52" i="9"/>
  <c r="BN52" i="9"/>
  <c r="BO52" i="9"/>
  <c r="BP52" i="9"/>
  <c r="BQ52" i="9"/>
  <c r="BR52" i="9"/>
  <c r="BS52" i="9"/>
  <c r="BT52" i="9"/>
  <c r="BU52" i="9"/>
  <c r="BV52" i="9"/>
  <c r="BW52" i="9"/>
  <c r="BX52" i="9"/>
  <c r="BY52" i="9"/>
  <c r="BZ52" i="9"/>
  <c r="CA52" i="9"/>
  <c r="CB52" i="9"/>
  <c r="CC52" i="9"/>
  <c r="CD52" i="9"/>
  <c r="CE52" i="9"/>
  <c r="CF52" i="9"/>
  <c r="CG52" i="9"/>
  <c r="CH52" i="9"/>
  <c r="CI52" i="9"/>
  <c r="CJ52" i="9"/>
  <c r="CK52" i="9"/>
  <c r="CL52" i="9"/>
  <c r="CM52" i="9"/>
  <c r="CN52" i="9"/>
  <c r="CO52" i="9"/>
  <c r="CP52" i="9"/>
  <c r="CQ52" i="9"/>
  <c r="CR52" i="9"/>
  <c r="CS52" i="9"/>
  <c r="CT52" i="9"/>
  <c r="CU52" i="9"/>
  <c r="CV52" i="9"/>
  <c r="CW52" i="9"/>
  <c r="CX52" i="9"/>
  <c r="CY52" i="9"/>
  <c r="CZ52" i="9"/>
  <c r="DA52" i="9"/>
  <c r="DB52" i="9"/>
  <c r="DC52" i="9"/>
  <c r="DD52" i="9"/>
  <c r="DE52" i="9"/>
  <c r="DF52" i="9"/>
  <c r="DG52" i="9"/>
  <c r="DH52" i="9"/>
  <c r="DI52" i="9"/>
  <c r="DJ52" i="9"/>
  <c r="DK52" i="9"/>
  <c r="DL52" i="9"/>
  <c r="DM52" i="9"/>
  <c r="DN52" i="9"/>
  <c r="DO52" i="9"/>
  <c r="DP52" i="9"/>
  <c r="DQ52" i="9"/>
  <c r="DR52" i="9"/>
  <c r="DS52" i="9"/>
  <c r="DT52" i="9"/>
  <c r="DU52" i="9"/>
  <c r="DV52" i="9"/>
  <c r="DW52" i="9"/>
  <c r="DX52" i="9"/>
  <c r="DY52" i="9"/>
  <c r="DZ52" i="9"/>
  <c r="EA52" i="9"/>
  <c r="EB52" i="9"/>
  <c r="EC52" i="9"/>
  <c r="ED52" i="9"/>
  <c r="EE52" i="9"/>
  <c r="EF52" i="9"/>
  <c r="EG52" i="9"/>
  <c r="EH52" i="9"/>
  <c r="EI52" i="9"/>
  <c r="EJ52" i="9"/>
  <c r="EK52" i="9"/>
  <c r="EL52" i="9"/>
  <c r="EM52" i="9"/>
  <c r="EN52" i="9"/>
  <c r="EO52" i="9"/>
  <c r="EP52" i="9"/>
  <c r="EQ52" i="9"/>
  <c r="ER52" i="9"/>
  <c r="ES52" i="9"/>
  <c r="ET52" i="9"/>
  <c r="EU52" i="9"/>
  <c r="EV52" i="9"/>
  <c r="EW52" i="9"/>
  <c r="EX52" i="9"/>
  <c r="EY52" i="9"/>
  <c r="EZ52" i="9"/>
  <c r="FA52" i="9"/>
  <c r="FB52" i="9"/>
  <c r="FC52" i="9"/>
  <c r="FD52" i="9"/>
  <c r="FE52" i="9"/>
  <c r="FF52" i="9"/>
  <c r="FG52" i="9"/>
  <c r="FH52" i="9"/>
  <c r="FI52" i="9"/>
  <c r="FJ52" i="9"/>
  <c r="FK52" i="9"/>
  <c r="FL52" i="9"/>
  <c r="FM52" i="9"/>
  <c r="FN52" i="9"/>
  <c r="FO52" i="9"/>
  <c r="FP52" i="9"/>
  <c r="FQ52" i="9"/>
  <c r="FR52" i="9"/>
  <c r="FS52" i="9"/>
  <c r="FT52" i="9"/>
  <c r="FU52" i="9"/>
  <c r="FV52" i="9"/>
  <c r="FW52" i="9"/>
  <c r="FX52" i="9"/>
  <c r="FY52" i="9"/>
  <c r="FZ52" i="9"/>
  <c r="GA52" i="9"/>
  <c r="GB52" i="9"/>
  <c r="GC52" i="9"/>
  <c r="GD52" i="9"/>
  <c r="GE52" i="9"/>
  <c r="GF52" i="9"/>
  <c r="GG52" i="9"/>
  <c r="GH52" i="9"/>
  <c r="GI52" i="9"/>
  <c r="GJ52" i="9"/>
  <c r="GK52" i="9"/>
  <c r="GL52" i="9"/>
  <c r="GM52" i="9"/>
  <c r="GN52" i="9"/>
  <c r="GO52" i="9"/>
  <c r="GP52" i="9"/>
  <c r="GQ52" i="9"/>
  <c r="GR52" i="9"/>
  <c r="GS52" i="9"/>
  <c r="GT52" i="9"/>
  <c r="GU52" i="9"/>
  <c r="GV52" i="9"/>
  <c r="GW52" i="9"/>
  <c r="GX52" i="9"/>
  <c r="GY52" i="9"/>
  <c r="GZ52" i="9"/>
  <c r="HA52" i="9"/>
  <c r="HB52" i="9"/>
  <c r="HC52" i="9"/>
  <c r="HD52" i="9"/>
  <c r="HE52" i="9"/>
  <c r="HF52" i="9"/>
  <c r="HG52" i="9"/>
  <c r="HH52" i="9"/>
  <c r="HI52" i="9"/>
  <c r="HJ52" i="9"/>
  <c r="HK52" i="9"/>
  <c r="HL52" i="9"/>
  <c r="HM52" i="9"/>
  <c r="HN52" i="9"/>
  <c r="HO52" i="9"/>
  <c r="HP52" i="9"/>
  <c r="HQ52" i="9"/>
  <c r="HR52" i="9"/>
  <c r="HS52" i="9"/>
  <c r="HT52" i="9"/>
  <c r="HU52" i="9"/>
  <c r="HV52" i="9"/>
  <c r="HW52" i="9"/>
  <c r="HX52" i="9"/>
  <c r="HY52" i="9"/>
  <c r="HZ52" i="9"/>
  <c r="IA52" i="9"/>
  <c r="IB52" i="9"/>
  <c r="IC52" i="9"/>
  <c r="ID52" i="9"/>
  <c r="IE52" i="9"/>
  <c r="IF52" i="9"/>
  <c r="IG52" i="9"/>
  <c r="IH52" i="9"/>
  <c r="II52" i="9"/>
  <c r="IJ52" i="9"/>
  <c r="IK52" i="9"/>
  <c r="IL52" i="9"/>
  <c r="IM52" i="9"/>
  <c r="IN52" i="9"/>
  <c r="IO52" i="9"/>
  <c r="IP52" i="9"/>
  <c r="IQ52" i="9"/>
  <c r="IR52" i="9"/>
  <c r="IS52" i="9"/>
  <c r="IT52" i="9"/>
  <c r="IU52" i="9"/>
  <c r="IV52" i="9"/>
  <c r="A51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BC51" i="9"/>
  <c r="BD51" i="9"/>
  <c r="BE51" i="9"/>
  <c r="BF51" i="9"/>
  <c r="BG51" i="9"/>
  <c r="BH51" i="9"/>
  <c r="BI51" i="9"/>
  <c r="BJ51" i="9"/>
  <c r="BK51" i="9"/>
  <c r="BL51" i="9"/>
  <c r="BM51" i="9"/>
  <c r="BN51" i="9"/>
  <c r="BO51" i="9"/>
  <c r="BP51" i="9"/>
  <c r="BQ51" i="9"/>
  <c r="BR51" i="9"/>
  <c r="BS51" i="9"/>
  <c r="BT51" i="9"/>
  <c r="BU51" i="9"/>
  <c r="BV51" i="9"/>
  <c r="BW51" i="9"/>
  <c r="BX51" i="9"/>
  <c r="BY51" i="9"/>
  <c r="BZ51" i="9"/>
  <c r="CA51" i="9"/>
  <c r="CB51" i="9"/>
  <c r="CC51" i="9"/>
  <c r="CD51" i="9"/>
  <c r="CE51" i="9"/>
  <c r="CF51" i="9"/>
  <c r="CG51" i="9"/>
  <c r="CH51" i="9"/>
  <c r="CI51" i="9"/>
  <c r="CJ51" i="9"/>
  <c r="CK51" i="9"/>
  <c r="CL51" i="9"/>
  <c r="CM51" i="9"/>
  <c r="CN51" i="9"/>
  <c r="CO51" i="9"/>
  <c r="CP51" i="9"/>
  <c r="CQ51" i="9"/>
  <c r="CR51" i="9"/>
  <c r="CS51" i="9"/>
  <c r="CT51" i="9"/>
  <c r="CU51" i="9"/>
  <c r="CV51" i="9"/>
  <c r="CW51" i="9"/>
  <c r="CX51" i="9"/>
  <c r="CY51" i="9"/>
  <c r="CZ51" i="9"/>
  <c r="DA51" i="9"/>
  <c r="DB51" i="9"/>
  <c r="DC51" i="9"/>
  <c r="DD51" i="9"/>
  <c r="DE51" i="9"/>
  <c r="DF51" i="9"/>
  <c r="DG51" i="9"/>
  <c r="DH51" i="9"/>
  <c r="DI51" i="9"/>
  <c r="DJ51" i="9"/>
  <c r="DK51" i="9"/>
  <c r="DL51" i="9"/>
  <c r="DM51" i="9"/>
  <c r="DN51" i="9"/>
  <c r="DO51" i="9"/>
  <c r="DP51" i="9"/>
  <c r="DQ51" i="9"/>
  <c r="DR51" i="9"/>
  <c r="DS51" i="9"/>
  <c r="DT51" i="9"/>
  <c r="DU51" i="9"/>
  <c r="DV51" i="9"/>
  <c r="DW51" i="9"/>
  <c r="DX51" i="9"/>
  <c r="DY51" i="9"/>
  <c r="DZ51" i="9"/>
  <c r="EA51" i="9"/>
  <c r="EB51" i="9"/>
  <c r="EC51" i="9"/>
  <c r="ED51" i="9"/>
  <c r="EE51" i="9"/>
  <c r="EF51" i="9"/>
  <c r="EG51" i="9"/>
  <c r="EH51" i="9"/>
  <c r="EI51" i="9"/>
  <c r="EJ51" i="9"/>
  <c r="EK51" i="9"/>
  <c r="EL51" i="9"/>
  <c r="EM51" i="9"/>
  <c r="EN51" i="9"/>
  <c r="EO51" i="9"/>
  <c r="EP51" i="9"/>
  <c r="EQ51" i="9"/>
  <c r="ER51" i="9"/>
  <c r="ES51" i="9"/>
  <c r="ET51" i="9"/>
  <c r="EU51" i="9"/>
  <c r="EV51" i="9"/>
  <c r="EW51" i="9"/>
  <c r="EX51" i="9"/>
  <c r="EY51" i="9"/>
  <c r="EZ51" i="9"/>
  <c r="FA51" i="9"/>
  <c r="FB51" i="9"/>
  <c r="FC51" i="9"/>
  <c r="FD51" i="9"/>
  <c r="FE51" i="9"/>
  <c r="FF51" i="9"/>
  <c r="FG51" i="9"/>
  <c r="FH51" i="9"/>
  <c r="FI51" i="9"/>
  <c r="FJ51" i="9"/>
  <c r="FK51" i="9"/>
  <c r="FL51" i="9"/>
  <c r="FM51" i="9"/>
  <c r="FN51" i="9"/>
  <c r="FO51" i="9"/>
  <c r="FP51" i="9"/>
  <c r="FQ51" i="9"/>
  <c r="FR51" i="9"/>
  <c r="FS51" i="9"/>
  <c r="FT51" i="9"/>
  <c r="FU51" i="9"/>
  <c r="FV51" i="9"/>
  <c r="FW51" i="9"/>
  <c r="FX51" i="9"/>
  <c r="FY51" i="9"/>
  <c r="FZ51" i="9"/>
  <c r="GA51" i="9"/>
  <c r="GB51" i="9"/>
  <c r="GC51" i="9"/>
  <c r="GD51" i="9"/>
  <c r="GE51" i="9"/>
  <c r="GF51" i="9"/>
  <c r="GG51" i="9"/>
  <c r="GH51" i="9"/>
  <c r="GI51" i="9"/>
  <c r="GJ51" i="9"/>
  <c r="GK51" i="9"/>
  <c r="GL51" i="9"/>
  <c r="GM51" i="9"/>
  <c r="GN51" i="9"/>
  <c r="GO51" i="9"/>
  <c r="GP51" i="9"/>
  <c r="GQ51" i="9"/>
  <c r="GR51" i="9"/>
  <c r="GS51" i="9"/>
  <c r="GT51" i="9"/>
  <c r="GU51" i="9"/>
  <c r="GV51" i="9"/>
  <c r="GW51" i="9"/>
  <c r="GX51" i="9"/>
  <c r="GY51" i="9"/>
  <c r="GZ51" i="9"/>
  <c r="HA51" i="9"/>
  <c r="HB51" i="9"/>
  <c r="HC51" i="9"/>
  <c r="HD51" i="9"/>
  <c r="HE51" i="9"/>
  <c r="HF51" i="9"/>
  <c r="HG51" i="9"/>
  <c r="HH51" i="9"/>
  <c r="HI51" i="9"/>
  <c r="HJ51" i="9"/>
  <c r="HK51" i="9"/>
  <c r="HL51" i="9"/>
  <c r="HM51" i="9"/>
  <c r="HN51" i="9"/>
  <c r="HO51" i="9"/>
  <c r="HP51" i="9"/>
  <c r="HQ51" i="9"/>
  <c r="HR51" i="9"/>
  <c r="HS51" i="9"/>
  <c r="HT51" i="9"/>
  <c r="HU51" i="9"/>
  <c r="HV51" i="9"/>
  <c r="HW51" i="9"/>
  <c r="HX51" i="9"/>
  <c r="HY51" i="9"/>
  <c r="HZ51" i="9"/>
  <c r="IA51" i="9"/>
  <c r="IB51" i="9"/>
  <c r="IC51" i="9"/>
  <c r="ID51" i="9"/>
  <c r="IE51" i="9"/>
  <c r="IF51" i="9"/>
  <c r="IG51" i="9"/>
  <c r="IH51" i="9"/>
  <c r="II51" i="9"/>
  <c r="IJ51" i="9"/>
  <c r="IK51" i="9"/>
  <c r="IL51" i="9"/>
  <c r="IM51" i="9"/>
  <c r="IN51" i="9"/>
  <c r="IO51" i="9"/>
  <c r="IP51" i="9"/>
  <c r="IQ51" i="9"/>
  <c r="IR51" i="9"/>
  <c r="IS51" i="9"/>
  <c r="IT51" i="9"/>
  <c r="IU51" i="9"/>
  <c r="IV51" i="9"/>
  <c r="A50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BB50" i="9"/>
  <c r="BC50" i="9"/>
  <c r="BD50" i="9"/>
  <c r="BE50" i="9"/>
  <c r="BF50" i="9"/>
  <c r="BG50" i="9"/>
  <c r="BH50" i="9"/>
  <c r="BI50" i="9"/>
  <c r="BJ50" i="9"/>
  <c r="BK50" i="9"/>
  <c r="BL50" i="9"/>
  <c r="BM50" i="9"/>
  <c r="BN50" i="9"/>
  <c r="BO50" i="9"/>
  <c r="BP50" i="9"/>
  <c r="BQ50" i="9"/>
  <c r="BR50" i="9"/>
  <c r="BS50" i="9"/>
  <c r="BT50" i="9"/>
  <c r="BU50" i="9"/>
  <c r="BV50" i="9"/>
  <c r="BW50" i="9"/>
  <c r="BX50" i="9"/>
  <c r="BY50" i="9"/>
  <c r="BZ50" i="9"/>
  <c r="CA50" i="9"/>
  <c r="CB50" i="9"/>
  <c r="CC50" i="9"/>
  <c r="CD50" i="9"/>
  <c r="CE50" i="9"/>
  <c r="CF50" i="9"/>
  <c r="CG50" i="9"/>
  <c r="CH50" i="9"/>
  <c r="CI50" i="9"/>
  <c r="CJ50" i="9"/>
  <c r="CK50" i="9"/>
  <c r="CL50" i="9"/>
  <c r="CM50" i="9"/>
  <c r="CN50" i="9"/>
  <c r="CO50" i="9"/>
  <c r="CP50" i="9"/>
  <c r="CQ50" i="9"/>
  <c r="CR50" i="9"/>
  <c r="CS50" i="9"/>
  <c r="CT50" i="9"/>
  <c r="CU50" i="9"/>
  <c r="CV50" i="9"/>
  <c r="CW50" i="9"/>
  <c r="CX50" i="9"/>
  <c r="CY50" i="9"/>
  <c r="CZ50" i="9"/>
  <c r="DA50" i="9"/>
  <c r="DB50" i="9"/>
  <c r="DC50" i="9"/>
  <c r="DD50" i="9"/>
  <c r="DE50" i="9"/>
  <c r="DF50" i="9"/>
  <c r="DG50" i="9"/>
  <c r="DH50" i="9"/>
  <c r="DI50" i="9"/>
  <c r="DJ50" i="9"/>
  <c r="DK50" i="9"/>
  <c r="DL50" i="9"/>
  <c r="DM50" i="9"/>
  <c r="DN50" i="9"/>
  <c r="DO50" i="9"/>
  <c r="DP50" i="9"/>
  <c r="DQ50" i="9"/>
  <c r="DR50" i="9"/>
  <c r="DS50" i="9"/>
  <c r="DT50" i="9"/>
  <c r="DU50" i="9"/>
  <c r="DV50" i="9"/>
  <c r="DW50" i="9"/>
  <c r="DX50" i="9"/>
  <c r="DY50" i="9"/>
  <c r="DZ50" i="9"/>
  <c r="EA50" i="9"/>
  <c r="EB50" i="9"/>
  <c r="EC50" i="9"/>
  <c r="ED50" i="9"/>
  <c r="EE50" i="9"/>
  <c r="EF50" i="9"/>
  <c r="EG50" i="9"/>
  <c r="EH50" i="9"/>
  <c r="EI50" i="9"/>
  <c r="EJ50" i="9"/>
  <c r="EK50" i="9"/>
  <c r="EL50" i="9"/>
  <c r="EM50" i="9"/>
  <c r="EN50" i="9"/>
  <c r="EO50" i="9"/>
  <c r="EP50" i="9"/>
  <c r="EQ50" i="9"/>
  <c r="ER50" i="9"/>
  <c r="ES50" i="9"/>
  <c r="ET50" i="9"/>
  <c r="EU50" i="9"/>
  <c r="EV50" i="9"/>
  <c r="EW50" i="9"/>
  <c r="EX50" i="9"/>
  <c r="EY50" i="9"/>
  <c r="EZ50" i="9"/>
  <c r="FA50" i="9"/>
  <c r="FB50" i="9"/>
  <c r="FC50" i="9"/>
  <c r="FD50" i="9"/>
  <c r="FE50" i="9"/>
  <c r="FF50" i="9"/>
  <c r="FG50" i="9"/>
  <c r="FH50" i="9"/>
  <c r="FI50" i="9"/>
  <c r="FJ50" i="9"/>
  <c r="FK50" i="9"/>
  <c r="FL50" i="9"/>
  <c r="FM50" i="9"/>
  <c r="FN50" i="9"/>
  <c r="FO50" i="9"/>
  <c r="FP50" i="9"/>
  <c r="FQ50" i="9"/>
  <c r="FR50" i="9"/>
  <c r="FS50" i="9"/>
  <c r="FT50" i="9"/>
  <c r="FU50" i="9"/>
  <c r="FV50" i="9"/>
  <c r="FW50" i="9"/>
  <c r="FX50" i="9"/>
  <c r="FY50" i="9"/>
  <c r="FZ50" i="9"/>
  <c r="GA50" i="9"/>
  <c r="GB50" i="9"/>
  <c r="GC50" i="9"/>
  <c r="GD50" i="9"/>
  <c r="GE50" i="9"/>
  <c r="GF50" i="9"/>
  <c r="GG50" i="9"/>
  <c r="GH50" i="9"/>
  <c r="GI50" i="9"/>
  <c r="GJ50" i="9"/>
  <c r="GK50" i="9"/>
  <c r="GL50" i="9"/>
  <c r="GM50" i="9"/>
  <c r="GN50" i="9"/>
  <c r="GO50" i="9"/>
  <c r="GP50" i="9"/>
  <c r="GQ50" i="9"/>
  <c r="GR50" i="9"/>
  <c r="GS50" i="9"/>
  <c r="GT50" i="9"/>
  <c r="GU50" i="9"/>
  <c r="GV50" i="9"/>
  <c r="GW50" i="9"/>
  <c r="GX50" i="9"/>
  <c r="GY50" i="9"/>
  <c r="GZ50" i="9"/>
  <c r="HA50" i="9"/>
  <c r="HB50" i="9"/>
  <c r="HC50" i="9"/>
  <c r="HD50" i="9"/>
  <c r="HE50" i="9"/>
  <c r="HF50" i="9"/>
  <c r="HG50" i="9"/>
  <c r="HH50" i="9"/>
  <c r="HI50" i="9"/>
  <c r="HJ50" i="9"/>
  <c r="HK50" i="9"/>
  <c r="HL50" i="9"/>
  <c r="HM50" i="9"/>
  <c r="HN50" i="9"/>
  <c r="HO50" i="9"/>
  <c r="HP50" i="9"/>
  <c r="HQ50" i="9"/>
  <c r="HR50" i="9"/>
  <c r="HS50" i="9"/>
  <c r="HT50" i="9"/>
  <c r="HU50" i="9"/>
  <c r="HV50" i="9"/>
  <c r="HW50" i="9"/>
  <c r="HX50" i="9"/>
  <c r="HY50" i="9"/>
  <c r="HZ50" i="9"/>
  <c r="IA50" i="9"/>
  <c r="IB50" i="9"/>
  <c r="IC50" i="9"/>
  <c r="ID50" i="9"/>
  <c r="IE50" i="9"/>
  <c r="IF50" i="9"/>
  <c r="IG50" i="9"/>
  <c r="IH50" i="9"/>
  <c r="II50" i="9"/>
  <c r="IJ50" i="9"/>
  <c r="IK50" i="9"/>
  <c r="IL50" i="9"/>
  <c r="IM50" i="9"/>
  <c r="IN50" i="9"/>
  <c r="IO50" i="9"/>
  <c r="IP50" i="9"/>
  <c r="IQ50" i="9"/>
  <c r="IR50" i="9"/>
  <c r="IS50" i="9"/>
  <c r="IT50" i="9"/>
  <c r="IU50" i="9"/>
  <c r="IV50" i="9"/>
  <c r="A49" i="9"/>
  <c r="B49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EE49" i="9"/>
  <c r="EF49" i="9"/>
  <c r="EG49" i="9"/>
  <c r="EH49" i="9"/>
  <c r="EI49" i="9"/>
  <c r="EJ49" i="9"/>
  <c r="EK49" i="9"/>
  <c r="EL49" i="9"/>
  <c r="EM49" i="9"/>
  <c r="EN49" i="9"/>
  <c r="EO49" i="9"/>
  <c r="EP49" i="9"/>
  <c r="EQ49" i="9"/>
  <c r="ER49" i="9"/>
  <c r="ES49" i="9"/>
  <c r="ET49" i="9"/>
  <c r="EU49" i="9"/>
  <c r="EV49" i="9"/>
  <c r="EW49" i="9"/>
  <c r="EX49" i="9"/>
  <c r="EY49" i="9"/>
  <c r="EZ49" i="9"/>
  <c r="FA49" i="9"/>
  <c r="FB49" i="9"/>
  <c r="FC49" i="9"/>
  <c r="FD49" i="9"/>
  <c r="FE49" i="9"/>
  <c r="FF49" i="9"/>
  <c r="FG49" i="9"/>
  <c r="FH49" i="9"/>
  <c r="FI49" i="9"/>
  <c r="FJ49" i="9"/>
  <c r="FK49" i="9"/>
  <c r="FL49" i="9"/>
  <c r="FM49" i="9"/>
  <c r="FN49" i="9"/>
  <c r="FO49" i="9"/>
  <c r="FP49" i="9"/>
  <c r="FQ49" i="9"/>
  <c r="FR49" i="9"/>
  <c r="FS49" i="9"/>
  <c r="FT49" i="9"/>
  <c r="FU49" i="9"/>
  <c r="FV49" i="9"/>
  <c r="FW49" i="9"/>
  <c r="FX49" i="9"/>
  <c r="FY49" i="9"/>
  <c r="FZ49" i="9"/>
  <c r="GA49" i="9"/>
  <c r="GB49" i="9"/>
  <c r="GC49" i="9"/>
  <c r="GD49" i="9"/>
  <c r="GE49" i="9"/>
  <c r="GF49" i="9"/>
  <c r="GG49" i="9"/>
  <c r="GH49" i="9"/>
  <c r="GI49" i="9"/>
  <c r="GJ49" i="9"/>
  <c r="GK49" i="9"/>
  <c r="GL49" i="9"/>
  <c r="GM49" i="9"/>
  <c r="GN49" i="9"/>
  <c r="GO49" i="9"/>
  <c r="GP49" i="9"/>
  <c r="GQ49" i="9"/>
  <c r="GR49" i="9"/>
  <c r="GS49" i="9"/>
  <c r="GT49" i="9"/>
  <c r="GU49" i="9"/>
  <c r="GV49" i="9"/>
  <c r="GW49" i="9"/>
  <c r="GX49" i="9"/>
  <c r="GY49" i="9"/>
  <c r="GZ49" i="9"/>
  <c r="HA49" i="9"/>
  <c r="HB49" i="9"/>
  <c r="HC49" i="9"/>
  <c r="HD49" i="9"/>
  <c r="HE49" i="9"/>
  <c r="HF49" i="9"/>
  <c r="HG49" i="9"/>
  <c r="HH49" i="9"/>
  <c r="HI49" i="9"/>
  <c r="HJ49" i="9"/>
  <c r="HK49" i="9"/>
  <c r="HL49" i="9"/>
  <c r="HM49" i="9"/>
  <c r="HN49" i="9"/>
  <c r="HO49" i="9"/>
  <c r="HP49" i="9"/>
  <c r="HQ49" i="9"/>
  <c r="HR49" i="9"/>
  <c r="HS49" i="9"/>
  <c r="HT49" i="9"/>
  <c r="HU49" i="9"/>
  <c r="HV49" i="9"/>
  <c r="HW49" i="9"/>
  <c r="HX49" i="9"/>
  <c r="HY49" i="9"/>
  <c r="HZ49" i="9"/>
  <c r="IA49" i="9"/>
  <c r="IB49" i="9"/>
  <c r="IC49" i="9"/>
  <c r="ID49" i="9"/>
  <c r="IE49" i="9"/>
  <c r="IF49" i="9"/>
  <c r="IG49" i="9"/>
  <c r="IH49" i="9"/>
  <c r="II49" i="9"/>
  <c r="IJ49" i="9"/>
  <c r="IK49" i="9"/>
  <c r="IL49" i="9"/>
  <c r="IM49" i="9"/>
  <c r="IN49" i="9"/>
  <c r="IO49" i="9"/>
  <c r="IP49" i="9"/>
  <c r="IQ49" i="9"/>
  <c r="IR49" i="9"/>
  <c r="IS49" i="9"/>
  <c r="IT49" i="9"/>
  <c r="IU49" i="9"/>
  <c r="IV49" i="9"/>
  <c r="A48" i="9"/>
  <c r="B48" i="9"/>
  <c r="C48" i="9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Z48" i="9"/>
  <c r="BA48" i="9"/>
  <c r="BB48" i="9"/>
  <c r="BC48" i="9"/>
  <c r="BD48" i="9"/>
  <c r="BE48" i="9"/>
  <c r="BF48" i="9"/>
  <c r="BG48" i="9"/>
  <c r="BH48" i="9"/>
  <c r="BI48" i="9"/>
  <c r="BJ48" i="9"/>
  <c r="BK48" i="9"/>
  <c r="BL48" i="9"/>
  <c r="BM48" i="9"/>
  <c r="BN48" i="9"/>
  <c r="BO48" i="9"/>
  <c r="BP48" i="9"/>
  <c r="BQ48" i="9"/>
  <c r="BR48" i="9"/>
  <c r="BS48" i="9"/>
  <c r="BT48" i="9"/>
  <c r="BU48" i="9"/>
  <c r="BV48" i="9"/>
  <c r="BW48" i="9"/>
  <c r="BX48" i="9"/>
  <c r="BY48" i="9"/>
  <c r="BZ48" i="9"/>
  <c r="CA48" i="9"/>
  <c r="CB48" i="9"/>
  <c r="CC48" i="9"/>
  <c r="CD48" i="9"/>
  <c r="CE48" i="9"/>
  <c r="CF48" i="9"/>
  <c r="CG48" i="9"/>
  <c r="CH48" i="9"/>
  <c r="CI48" i="9"/>
  <c r="CJ48" i="9"/>
  <c r="CK48" i="9"/>
  <c r="CL48" i="9"/>
  <c r="CM48" i="9"/>
  <c r="CN48" i="9"/>
  <c r="CO48" i="9"/>
  <c r="CP48" i="9"/>
  <c r="CQ48" i="9"/>
  <c r="CR48" i="9"/>
  <c r="CS48" i="9"/>
  <c r="CT48" i="9"/>
  <c r="CU48" i="9"/>
  <c r="CV48" i="9"/>
  <c r="CW48" i="9"/>
  <c r="CX48" i="9"/>
  <c r="CY48" i="9"/>
  <c r="CZ48" i="9"/>
  <c r="DA48" i="9"/>
  <c r="DB48" i="9"/>
  <c r="DC48" i="9"/>
  <c r="DD48" i="9"/>
  <c r="DE48" i="9"/>
  <c r="DF48" i="9"/>
  <c r="DG48" i="9"/>
  <c r="DH48" i="9"/>
  <c r="DI48" i="9"/>
  <c r="DJ48" i="9"/>
  <c r="DK48" i="9"/>
  <c r="DL48" i="9"/>
  <c r="DM48" i="9"/>
  <c r="DN48" i="9"/>
  <c r="DO48" i="9"/>
  <c r="DP48" i="9"/>
  <c r="DQ48" i="9"/>
  <c r="DR48" i="9"/>
  <c r="DS48" i="9"/>
  <c r="DT48" i="9"/>
  <c r="DU48" i="9"/>
  <c r="DV48" i="9"/>
  <c r="DW48" i="9"/>
  <c r="DX48" i="9"/>
  <c r="DY48" i="9"/>
  <c r="DZ48" i="9"/>
  <c r="EA48" i="9"/>
  <c r="EB48" i="9"/>
  <c r="EC48" i="9"/>
  <c r="ED48" i="9"/>
  <c r="EE48" i="9"/>
  <c r="EF48" i="9"/>
  <c r="EG48" i="9"/>
  <c r="EH48" i="9"/>
  <c r="EI48" i="9"/>
  <c r="EJ48" i="9"/>
  <c r="EK48" i="9"/>
  <c r="EL48" i="9"/>
  <c r="EM48" i="9"/>
  <c r="EN48" i="9"/>
  <c r="EO48" i="9"/>
  <c r="EP48" i="9"/>
  <c r="EQ48" i="9"/>
  <c r="ER48" i="9"/>
  <c r="ES48" i="9"/>
  <c r="ET48" i="9"/>
  <c r="EU48" i="9"/>
  <c r="EV48" i="9"/>
  <c r="EW48" i="9"/>
  <c r="EX48" i="9"/>
  <c r="EY48" i="9"/>
  <c r="EZ48" i="9"/>
  <c r="FA48" i="9"/>
  <c r="FB48" i="9"/>
  <c r="FC48" i="9"/>
  <c r="FD48" i="9"/>
  <c r="FE48" i="9"/>
  <c r="FF48" i="9"/>
  <c r="FG48" i="9"/>
  <c r="FH48" i="9"/>
  <c r="FI48" i="9"/>
  <c r="FJ48" i="9"/>
  <c r="FK48" i="9"/>
  <c r="FL48" i="9"/>
  <c r="FM48" i="9"/>
  <c r="FN48" i="9"/>
  <c r="FO48" i="9"/>
  <c r="FP48" i="9"/>
  <c r="FQ48" i="9"/>
  <c r="FR48" i="9"/>
  <c r="FS48" i="9"/>
  <c r="FT48" i="9"/>
  <c r="FU48" i="9"/>
  <c r="FV48" i="9"/>
  <c r="FW48" i="9"/>
  <c r="FX48" i="9"/>
  <c r="FY48" i="9"/>
  <c r="FZ48" i="9"/>
  <c r="GA48" i="9"/>
  <c r="GB48" i="9"/>
  <c r="GC48" i="9"/>
  <c r="GD48" i="9"/>
  <c r="GE48" i="9"/>
  <c r="GF48" i="9"/>
  <c r="GG48" i="9"/>
  <c r="GH48" i="9"/>
  <c r="GI48" i="9"/>
  <c r="GJ48" i="9"/>
  <c r="GK48" i="9"/>
  <c r="GL48" i="9"/>
  <c r="GM48" i="9"/>
  <c r="GN48" i="9"/>
  <c r="GO48" i="9"/>
  <c r="GP48" i="9"/>
  <c r="GQ48" i="9"/>
  <c r="GR48" i="9"/>
  <c r="GS48" i="9"/>
  <c r="GT48" i="9"/>
  <c r="GU48" i="9"/>
  <c r="GV48" i="9"/>
  <c r="GW48" i="9"/>
  <c r="GX48" i="9"/>
  <c r="GY48" i="9"/>
  <c r="GZ48" i="9"/>
  <c r="HA48" i="9"/>
  <c r="HB48" i="9"/>
  <c r="HC48" i="9"/>
  <c r="HD48" i="9"/>
  <c r="HE48" i="9"/>
  <c r="HF48" i="9"/>
  <c r="HG48" i="9"/>
  <c r="HH48" i="9"/>
  <c r="HI48" i="9"/>
  <c r="HJ48" i="9"/>
  <c r="HK48" i="9"/>
  <c r="HL48" i="9"/>
  <c r="HM48" i="9"/>
  <c r="HN48" i="9"/>
  <c r="HO48" i="9"/>
  <c r="HP48" i="9"/>
  <c r="HQ48" i="9"/>
  <c r="HR48" i="9"/>
  <c r="HS48" i="9"/>
  <c r="HT48" i="9"/>
  <c r="HU48" i="9"/>
  <c r="HV48" i="9"/>
  <c r="HW48" i="9"/>
  <c r="HX48" i="9"/>
  <c r="HY48" i="9"/>
  <c r="HZ48" i="9"/>
  <c r="IA48" i="9"/>
  <c r="IB48" i="9"/>
  <c r="IC48" i="9"/>
  <c r="ID48" i="9"/>
  <c r="IE48" i="9"/>
  <c r="IF48" i="9"/>
  <c r="IG48" i="9"/>
  <c r="IH48" i="9"/>
  <c r="II48" i="9"/>
  <c r="IJ48" i="9"/>
  <c r="IK48" i="9"/>
  <c r="IL48" i="9"/>
  <c r="IM48" i="9"/>
  <c r="IN48" i="9"/>
  <c r="IO48" i="9"/>
  <c r="IP48" i="9"/>
  <c r="IQ48" i="9"/>
  <c r="IR48" i="9"/>
  <c r="IS48" i="9"/>
  <c r="IT48" i="9"/>
  <c r="IU48" i="9"/>
  <c r="IV48" i="9"/>
  <c r="A47" i="9"/>
  <c r="B47" i="9"/>
  <c r="C47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Y47" i="9"/>
  <c r="AZ47" i="9"/>
  <c r="BA47" i="9"/>
  <c r="BB47" i="9"/>
  <c r="BC47" i="9"/>
  <c r="BD47" i="9"/>
  <c r="BE47" i="9"/>
  <c r="BF47" i="9"/>
  <c r="BG47" i="9"/>
  <c r="BH47" i="9"/>
  <c r="BI47" i="9"/>
  <c r="BJ47" i="9"/>
  <c r="BK47" i="9"/>
  <c r="BL47" i="9"/>
  <c r="BM47" i="9"/>
  <c r="BN47" i="9"/>
  <c r="BO47" i="9"/>
  <c r="BP47" i="9"/>
  <c r="BQ47" i="9"/>
  <c r="BR47" i="9"/>
  <c r="BS47" i="9"/>
  <c r="BT47" i="9"/>
  <c r="BU47" i="9"/>
  <c r="BV47" i="9"/>
  <c r="BW47" i="9"/>
  <c r="BX47" i="9"/>
  <c r="BY47" i="9"/>
  <c r="BZ47" i="9"/>
  <c r="CA47" i="9"/>
  <c r="CB47" i="9"/>
  <c r="CC47" i="9"/>
  <c r="CD47" i="9"/>
  <c r="CE47" i="9"/>
  <c r="CF47" i="9"/>
  <c r="CG47" i="9"/>
  <c r="CH47" i="9"/>
  <c r="CI47" i="9"/>
  <c r="CJ47" i="9"/>
  <c r="CK47" i="9"/>
  <c r="CL47" i="9"/>
  <c r="CM47" i="9"/>
  <c r="CN47" i="9"/>
  <c r="CO47" i="9"/>
  <c r="CP47" i="9"/>
  <c r="CQ47" i="9"/>
  <c r="CR47" i="9"/>
  <c r="CS47" i="9"/>
  <c r="CT47" i="9"/>
  <c r="CU47" i="9"/>
  <c r="CV47" i="9"/>
  <c r="CW47" i="9"/>
  <c r="CX47" i="9"/>
  <c r="CY47" i="9"/>
  <c r="CZ47" i="9"/>
  <c r="DA47" i="9"/>
  <c r="DB47" i="9"/>
  <c r="DC47" i="9"/>
  <c r="DD47" i="9"/>
  <c r="DE47" i="9"/>
  <c r="DF47" i="9"/>
  <c r="DG47" i="9"/>
  <c r="DH47" i="9"/>
  <c r="DI47" i="9"/>
  <c r="DJ47" i="9"/>
  <c r="DK47" i="9"/>
  <c r="DL47" i="9"/>
  <c r="DM47" i="9"/>
  <c r="DN47" i="9"/>
  <c r="DO47" i="9"/>
  <c r="DP47" i="9"/>
  <c r="DQ47" i="9"/>
  <c r="DR47" i="9"/>
  <c r="DS47" i="9"/>
  <c r="DT47" i="9"/>
  <c r="DU47" i="9"/>
  <c r="DV47" i="9"/>
  <c r="DW47" i="9"/>
  <c r="DX47" i="9"/>
  <c r="DY47" i="9"/>
  <c r="DZ47" i="9"/>
  <c r="EA47" i="9"/>
  <c r="EB47" i="9"/>
  <c r="EC47" i="9"/>
  <c r="ED47" i="9"/>
  <c r="EE47" i="9"/>
  <c r="EF47" i="9"/>
  <c r="EG47" i="9"/>
  <c r="EH47" i="9"/>
  <c r="EI47" i="9"/>
  <c r="EJ47" i="9"/>
  <c r="EK47" i="9"/>
  <c r="EL47" i="9"/>
  <c r="EM47" i="9"/>
  <c r="EN47" i="9"/>
  <c r="EO47" i="9"/>
  <c r="EP47" i="9"/>
  <c r="EQ47" i="9"/>
  <c r="ER47" i="9"/>
  <c r="ES47" i="9"/>
  <c r="ET47" i="9"/>
  <c r="EU47" i="9"/>
  <c r="EV47" i="9"/>
  <c r="EW47" i="9"/>
  <c r="EX47" i="9"/>
  <c r="EY47" i="9"/>
  <c r="EZ47" i="9"/>
  <c r="FA47" i="9"/>
  <c r="FB47" i="9"/>
  <c r="FC47" i="9"/>
  <c r="FD47" i="9"/>
  <c r="FE47" i="9"/>
  <c r="FF47" i="9"/>
  <c r="FG47" i="9"/>
  <c r="FH47" i="9"/>
  <c r="FI47" i="9"/>
  <c r="FJ47" i="9"/>
  <c r="FK47" i="9"/>
  <c r="FL47" i="9"/>
  <c r="FM47" i="9"/>
  <c r="FN47" i="9"/>
  <c r="FO47" i="9"/>
  <c r="FP47" i="9"/>
  <c r="FQ47" i="9"/>
  <c r="FR47" i="9"/>
  <c r="FS47" i="9"/>
  <c r="FT47" i="9"/>
  <c r="FU47" i="9"/>
  <c r="FV47" i="9"/>
  <c r="FW47" i="9"/>
  <c r="FX47" i="9"/>
  <c r="FY47" i="9"/>
  <c r="FZ47" i="9"/>
  <c r="GA47" i="9"/>
  <c r="GB47" i="9"/>
  <c r="GC47" i="9"/>
  <c r="GD47" i="9"/>
  <c r="GE47" i="9"/>
  <c r="GF47" i="9"/>
  <c r="GG47" i="9"/>
  <c r="GH47" i="9"/>
  <c r="GI47" i="9"/>
  <c r="GJ47" i="9"/>
  <c r="GK47" i="9"/>
  <c r="GL47" i="9"/>
  <c r="GM47" i="9"/>
  <c r="GN47" i="9"/>
  <c r="GO47" i="9"/>
  <c r="GP47" i="9"/>
  <c r="GQ47" i="9"/>
  <c r="GR47" i="9"/>
  <c r="GS47" i="9"/>
  <c r="GT47" i="9"/>
  <c r="GU47" i="9"/>
  <c r="GV47" i="9"/>
  <c r="GW47" i="9"/>
  <c r="GX47" i="9"/>
  <c r="GY47" i="9"/>
  <c r="GZ47" i="9"/>
  <c r="HA47" i="9"/>
  <c r="HB47" i="9"/>
  <c r="HC47" i="9"/>
  <c r="HD47" i="9"/>
  <c r="HE47" i="9"/>
  <c r="HF47" i="9"/>
  <c r="HG47" i="9"/>
  <c r="HH47" i="9"/>
  <c r="HI47" i="9"/>
  <c r="HJ47" i="9"/>
  <c r="HK47" i="9"/>
  <c r="HL47" i="9"/>
  <c r="HM47" i="9"/>
  <c r="HN47" i="9"/>
  <c r="HO47" i="9"/>
  <c r="HP47" i="9"/>
  <c r="HQ47" i="9"/>
  <c r="HR47" i="9"/>
  <c r="HS47" i="9"/>
  <c r="HT47" i="9"/>
  <c r="HU47" i="9"/>
  <c r="HV47" i="9"/>
  <c r="HW47" i="9"/>
  <c r="HX47" i="9"/>
  <c r="HY47" i="9"/>
  <c r="HZ47" i="9"/>
  <c r="IA47" i="9"/>
  <c r="IB47" i="9"/>
  <c r="IC47" i="9"/>
  <c r="ID47" i="9"/>
  <c r="IE47" i="9"/>
  <c r="IF47" i="9"/>
  <c r="IG47" i="9"/>
  <c r="IH47" i="9"/>
  <c r="II47" i="9"/>
  <c r="IJ47" i="9"/>
  <c r="IK47" i="9"/>
  <c r="IL47" i="9"/>
  <c r="IM47" i="9"/>
  <c r="IN47" i="9"/>
  <c r="IO47" i="9"/>
  <c r="IP47" i="9"/>
  <c r="IQ47" i="9"/>
  <c r="IR47" i="9"/>
  <c r="IS47" i="9"/>
  <c r="IT47" i="9"/>
  <c r="IU47" i="9"/>
  <c r="IV47" i="9"/>
  <c r="A46" i="9"/>
  <c r="B46" i="9"/>
  <c r="C46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AX46" i="9"/>
  <c r="AY46" i="9"/>
  <c r="AZ46" i="9"/>
  <c r="BA46" i="9"/>
  <c r="BB46" i="9"/>
  <c r="BC46" i="9"/>
  <c r="BD46" i="9"/>
  <c r="BE46" i="9"/>
  <c r="BF46" i="9"/>
  <c r="BG46" i="9"/>
  <c r="BH46" i="9"/>
  <c r="BI46" i="9"/>
  <c r="BJ46" i="9"/>
  <c r="BK46" i="9"/>
  <c r="BL46" i="9"/>
  <c r="BM46" i="9"/>
  <c r="BN46" i="9"/>
  <c r="BO46" i="9"/>
  <c r="BP46" i="9"/>
  <c r="BQ46" i="9"/>
  <c r="BR46" i="9"/>
  <c r="BS46" i="9"/>
  <c r="BT46" i="9"/>
  <c r="BU46" i="9"/>
  <c r="BV46" i="9"/>
  <c r="BW46" i="9"/>
  <c r="BX46" i="9"/>
  <c r="BY46" i="9"/>
  <c r="BZ46" i="9"/>
  <c r="CA46" i="9"/>
  <c r="CB46" i="9"/>
  <c r="CC46" i="9"/>
  <c r="CD46" i="9"/>
  <c r="CE46" i="9"/>
  <c r="CF46" i="9"/>
  <c r="CG46" i="9"/>
  <c r="CH46" i="9"/>
  <c r="CI46" i="9"/>
  <c r="CJ46" i="9"/>
  <c r="CK46" i="9"/>
  <c r="CL46" i="9"/>
  <c r="CM46" i="9"/>
  <c r="CN46" i="9"/>
  <c r="CO46" i="9"/>
  <c r="CP46" i="9"/>
  <c r="CQ46" i="9"/>
  <c r="CR46" i="9"/>
  <c r="CS46" i="9"/>
  <c r="CT46" i="9"/>
  <c r="CU46" i="9"/>
  <c r="CV46" i="9"/>
  <c r="CW46" i="9"/>
  <c r="CX46" i="9"/>
  <c r="CY46" i="9"/>
  <c r="CZ46" i="9"/>
  <c r="DA46" i="9"/>
  <c r="DB46" i="9"/>
  <c r="DC46" i="9"/>
  <c r="DD46" i="9"/>
  <c r="DE46" i="9"/>
  <c r="DF46" i="9"/>
  <c r="DG46" i="9"/>
  <c r="DH46" i="9"/>
  <c r="DI46" i="9"/>
  <c r="DJ46" i="9"/>
  <c r="DK46" i="9"/>
  <c r="DL46" i="9"/>
  <c r="DM46" i="9"/>
  <c r="DN46" i="9"/>
  <c r="DO46" i="9"/>
  <c r="DP46" i="9"/>
  <c r="DQ46" i="9"/>
  <c r="DR46" i="9"/>
  <c r="DS46" i="9"/>
  <c r="DT46" i="9"/>
  <c r="DU46" i="9"/>
  <c r="DV46" i="9"/>
  <c r="DW46" i="9"/>
  <c r="DX46" i="9"/>
  <c r="DY46" i="9"/>
  <c r="DZ46" i="9"/>
  <c r="EA46" i="9"/>
  <c r="EB46" i="9"/>
  <c r="EC46" i="9"/>
  <c r="ED46" i="9"/>
  <c r="EE46" i="9"/>
  <c r="EF46" i="9"/>
  <c r="EG46" i="9"/>
  <c r="EH46" i="9"/>
  <c r="EI46" i="9"/>
  <c r="EJ46" i="9"/>
  <c r="EK46" i="9"/>
  <c r="EL46" i="9"/>
  <c r="EM46" i="9"/>
  <c r="EN46" i="9"/>
  <c r="EO46" i="9"/>
  <c r="EP46" i="9"/>
  <c r="EQ46" i="9"/>
  <c r="ER46" i="9"/>
  <c r="ES46" i="9"/>
  <c r="ET46" i="9"/>
  <c r="EU46" i="9"/>
  <c r="EV46" i="9"/>
  <c r="EW46" i="9"/>
  <c r="EX46" i="9"/>
  <c r="EY46" i="9"/>
  <c r="EZ46" i="9"/>
  <c r="FA46" i="9"/>
  <c r="FB46" i="9"/>
  <c r="FC46" i="9"/>
  <c r="FD46" i="9"/>
  <c r="FE46" i="9"/>
  <c r="FF46" i="9"/>
  <c r="FG46" i="9"/>
  <c r="FH46" i="9"/>
  <c r="FI46" i="9"/>
  <c r="FJ46" i="9"/>
  <c r="FK46" i="9"/>
  <c r="FL46" i="9"/>
  <c r="FM46" i="9"/>
  <c r="FN46" i="9"/>
  <c r="FO46" i="9"/>
  <c r="FP46" i="9"/>
  <c r="FQ46" i="9"/>
  <c r="FR46" i="9"/>
  <c r="FS46" i="9"/>
  <c r="FT46" i="9"/>
  <c r="FU46" i="9"/>
  <c r="FV46" i="9"/>
  <c r="FW46" i="9"/>
  <c r="FX46" i="9"/>
  <c r="FY46" i="9"/>
  <c r="FZ46" i="9"/>
  <c r="GA46" i="9"/>
  <c r="GB46" i="9"/>
  <c r="GC46" i="9"/>
  <c r="GD46" i="9"/>
  <c r="GE46" i="9"/>
  <c r="GF46" i="9"/>
  <c r="GG46" i="9"/>
  <c r="GH46" i="9"/>
  <c r="GI46" i="9"/>
  <c r="GJ46" i="9"/>
  <c r="GK46" i="9"/>
  <c r="GL46" i="9"/>
  <c r="GM46" i="9"/>
  <c r="GN46" i="9"/>
  <c r="GO46" i="9"/>
  <c r="GP46" i="9"/>
  <c r="GQ46" i="9"/>
  <c r="GR46" i="9"/>
  <c r="GS46" i="9"/>
  <c r="GT46" i="9"/>
  <c r="GU46" i="9"/>
  <c r="GV46" i="9"/>
  <c r="GW46" i="9"/>
  <c r="GX46" i="9"/>
  <c r="GY46" i="9"/>
  <c r="GZ46" i="9"/>
  <c r="HA46" i="9"/>
  <c r="HB46" i="9"/>
  <c r="HC46" i="9"/>
  <c r="HD46" i="9"/>
  <c r="HE46" i="9"/>
  <c r="HF46" i="9"/>
  <c r="HG46" i="9"/>
  <c r="HH46" i="9"/>
  <c r="HI46" i="9"/>
  <c r="HJ46" i="9"/>
  <c r="HK46" i="9"/>
  <c r="HL46" i="9"/>
  <c r="HM46" i="9"/>
  <c r="HN46" i="9"/>
  <c r="HO46" i="9"/>
  <c r="HP46" i="9"/>
  <c r="HQ46" i="9"/>
  <c r="HR46" i="9"/>
  <c r="HS46" i="9"/>
  <c r="HT46" i="9"/>
  <c r="HU46" i="9"/>
  <c r="HV46" i="9"/>
  <c r="HW46" i="9"/>
  <c r="HX46" i="9"/>
  <c r="HY46" i="9"/>
  <c r="HZ46" i="9"/>
  <c r="IA46" i="9"/>
  <c r="IB46" i="9"/>
  <c r="IC46" i="9"/>
  <c r="ID46" i="9"/>
  <c r="IE46" i="9"/>
  <c r="IF46" i="9"/>
  <c r="IG46" i="9"/>
  <c r="IH46" i="9"/>
  <c r="II46" i="9"/>
  <c r="IJ46" i="9"/>
  <c r="IK46" i="9"/>
  <c r="IL46" i="9"/>
  <c r="IM46" i="9"/>
  <c r="IN46" i="9"/>
  <c r="IO46" i="9"/>
  <c r="IP46" i="9"/>
  <c r="IQ46" i="9"/>
  <c r="IR46" i="9"/>
  <c r="IS46" i="9"/>
  <c r="IT46" i="9"/>
  <c r="IU46" i="9"/>
  <c r="IV46" i="9"/>
  <c r="A45" i="9"/>
  <c r="B45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W45" i="9"/>
  <c r="AX45" i="9"/>
  <c r="AY45" i="9"/>
  <c r="AZ45" i="9"/>
  <c r="BA45" i="9"/>
  <c r="BB45" i="9"/>
  <c r="BC45" i="9"/>
  <c r="BD45" i="9"/>
  <c r="BE45" i="9"/>
  <c r="BF45" i="9"/>
  <c r="BG45" i="9"/>
  <c r="BH45" i="9"/>
  <c r="BI45" i="9"/>
  <c r="BJ45" i="9"/>
  <c r="BK45" i="9"/>
  <c r="BL45" i="9"/>
  <c r="BM45" i="9"/>
  <c r="BN45" i="9"/>
  <c r="BO45" i="9"/>
  <c r="BP45" i="9"/>
  <c r="BQ45" i="9"/>
  <c r="BR45" i="9"/>
  <c r="BS45" i="9"/>
  <c r="BT45" i="9"/>
  <c r="BU45" i="9"/>
  <c r="BV45" i="9"/>
  <c r="BW45" i="9"/>
  <c r="BX45" i="9"/>
  <c r="BY45" i="9"/>
  <c r="BZ45" i="9"/>
  <c r="CA45" i="9"/>
  <c r="CB45" i="9"/>
  <c r="CC45" i="9"/>
  <c r="CD45" i="9"/>
  <c r="CE45" i="9"/>
  <c r="CF45" i="9"/>
  <c r="CG45" i="9"/>
  <c r="CH45" i="9"/>
  <c r="CI45" i="9"/>
  <c r="CJ45" i="9"/>
  <c r="CK45" i="9"/>
  <c r="CL45" i="9"/>
  <c r="CM45" i="9"/>
  <c r="CN45" i="9"/>
  <c r="CO45" i="9"/>
  <c r="CP45" i="9"/>
  <c r="CQ45" i="9"/>
  <c r="CR45" i="9"/>
  <c r="CS45" i="9"/>
  <c r="CT45" i="9"/>
  <c r="CU45" i="9"/>
  <c r="CV45" i="9"/>
  <c r="CW45" i="9"/>
  <c r="CX45" i="9"/>
  <c r="CY45" i="9"/>
  <c r="CZ45" i="9"/>
  <c r="DA45" i="9"/>
  <c r="DB45" i="9"/>
  <c r="DC45" i="9"/>
  <c r="DD45" i="9"/>
  <c r="DE45" i="9"/>
  <c r="DF45" i="9"/>
  <c r="DG45" i="9"/>
  <c r="DH45" i="9"/>
  <c r="DI45" i="9"/>
  <c r="DJ45" i="9"/>
  <c r="DK45" i="9"/>
  <c r="DL45" i="9"/>
  <c r="DM45" i="9"/>
  <c r="DN45" i="9"/>
  <c r="DO45" i="9"/>
  <c r="DP45" i="9"/>
  <c r="DQ45" i="9"/>
  <c r="DR45" i="9"/>
  <c r="DS45" i="9"/>
  <c r="DT45" i="9"/>
  <c r="DU45" i="9"/>
  <c r="DV45" i="9"/>
  <c r="DW45" i="9"/>
  <c r="DX45" i="9"/>
  <c r="DY45" i="9"/>
  <c r="DZ45" i="9"/>
  <c r="EA45" i="9"/>
  <c r="EB45" i="9"/>
  <c r="EC45" i="9"/>
  <c r="ED45" i="9"/>
  <c r="EE45" i="9"/>
  <c r="EF45" i="9"/>
  <c r="EG45" i="9"/>
  <c r="EH45" i="9"/>
  <c r="EI45" i="9"/>
  <c r="EJ45" i="9"/>
  <c r="EK45" i="9"/>
  <c r="EL45" i="9"/>
  <c r="EM45" i="9"/>
  <c r="EN45" i="9"/>
  <c r="EO45" i="9"/>
  <c r="EP45" i="9"/>
  <c r="EQ45" i="9"/>
  <c r="ER45" i="9"/>
  <c r="ES45" i="9"/>
  <c r="ET45" i="9"/>
  <c r="EU45" i="9"/>
  <c r="EV45" i="9"/>
  <c r="EW45" i="9"/>
  <c r="EX45" i="9"/>
  <c r="EY45" i="9"/>
  <c r="EZ45" i="9"/>
  <c r="FA45" i="9"/>
  <c r="FB45" i="9"/>
  <c r="FC45" i="9"/>
  <c r="FD45" i="9"/>
  <c r="FE45" i="9"/>
  <c r="FF45" i="9"/>
  <c r="FG45" i="9"/>
  <c r="FH45" i="9"/>
  <c r="FI45" i="9"/>
  <c r="FJ45" i="9"/>
  <c r="FK45" i="9"/>
  <c r="FL45" i="9"/>
  <c r="FM45" i="9"/>
  <c r="FN45" i="9"/>
  <c r="FO45" i="9"/>
  <c r="FP45" i="9"/>
  <c r="FQ45" i="9"/>
  <c r="FR45" i="9"/>
  <c r="FS45" i="9"/>
  <c r="FT45" i="9"/>
  <c r="FU45" i="9"/>
  <c r="FV45" i="9"/>
  <c r="FW45" i="9"/>
  <c r="FX45" i="9"/>
  <c r="FY45" i="9"/>
  <c r="FZ45" i="9"/>
  <c r="GA45" i="9"/>
  <c r="GB45" i="9"/>
  <c r="GC45" i="9"/>
  <c r="GD45" i="9"/>
  <c r="GE45" i="9"/>
  <c r="GF45" i="9"/>
  <c r="GG45" i="9"/>
  <c r="GH45" i="9"/>
  <c r="GI45" i="9"/>
  <c r="GJ45" i="9"/>
  <c r="GK45" i="9"/>
  <c r="GL45" i="9"/>
  <c r="GM45" i="9"/>
  <c r="GN45" i="9"/>
  <c r="GO45" i="9"/>
  <c r="GP45" i="9"/>
  <c r="GQ45" i="9"/>
  <c r="GR45" i="9"/>
  <c r="GS45" i="9"/>
  <c r="GT45" i="9"/>
  <c r="GU45" i="9"/>
  <c r="GV45" i="9"/>
  <c r="GW45" i="9"/>
  <c r="GX45" i="9"/>
  <c r="GY45" i="9"/>
  <c r="GZ45" i="9"/>
  <c r="HA45" i="9"/>
  <c r="HB45" i="9"/>
  <c r="HC45" i="9"/>
  <c r="HD45" i="9"/>
  <c r="HE45" i="9"/>
  <c r="HF45" i="9"/>
  <c r="HG45" i="9"/>
  <c r="HH45" i="9"/>
  <c r="HI45" i="9"/>
  <c r="HJ45" i="9"/>
  <c r="HK45" i="9"/>
  <c r="HL45" i="9"/>
  <c r="HM45" i="9"/>
  <c r="HN45" i="9"/>
  <c r="HO45" i="9"/>
  <c r="HP45" i="9"/>
  <c r="HQ45" i="9"/>
  <c r="HR45" i="9"/>
  <c r="HS45" i="9"/>
  <c r="HT45" i="9"/>
  <c r="HU45" i="9"/>
  <c r="HV45" i="9"/>
  <c r="HW45" i="9"/>
  <c r="HX45" i="9"/>
  <c r="HY45" i="9"/>
  <c r="HZ45" i="9"/>
  <c r="IA45" i="9"/>
  <c r="IB45" i="9"/>
  <c r="IC45" i="9"/>
  <c r="ID45" i="9"/>
  <c r="IE45" i="9"/>
  <c r="IF45" i="9"/>
  <c r="IG45" i="9"/>
  <c r="IH45" i="9"/>
  <c r="II45" i="9"/>
  <c r="IJ45" i="9"/>
  <c r="IK45" i="9"/>
  <c r="IL45" i="9"/>
  <c r="IM45" i="9"/>
  <c r="IN45" i="9"/>
  <c r="IO45" i="9"/>
  <c r="IP45" i="9"/>
  <c r="IQ45" i="9"/>
  <c r="IR45" i="9"/>
  <c r="IS45" i="9"/>
  <c r="IT45" i="9"/>
  <c r="IU45" i="9"/>
  <c r="IV45" i="9"/>
  <c r="A44" i="9"/>
  <c r="B44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AV44" i="9"/>
  <c r="AW44" i="9"/>
  <c r="AX44" i="9"/>
  <c r="AY44" i="9"/>
  <c r="AZ44" i="9"/>
  <c r="BA44" i="9"/>
  <c r="BB44" i="9"/>
  <c r="BC44" i="9"/>
  <c r="BD44" i="9"/>
  <c r="BE44" i="9"/>
  <c r="BF44" i="9"/>
  <c r="BG44" i="9"/>
  <c r="BH44" i="9"/>
  <c r="BI44" i="9"/>
  <c r="BJ44" i="9"/>
  <c r="BK44" i="9"/>
  <c r="BL44" i="9"/>
  <c r="BM44" i="9"/>
  <c r="BN44" i="9"/>
  <c r="BO44" i="9"/>
  <c r="BP44" i="9"/>
  <c r="BQ44" i="9"/>
  <c r="BR44" i="9"/>
  <c r="BS44" i="9"/>
  <c r="BT44" i="9"/>
  <c r="BU44" i="9"/>
  <c r="BV44" i="9"/>
  <c r="BW44" i="9"/>
  <c r="BX44" i="9"/>
  <c r="BY44" i="9"/>
  <c r="BZ44" i="9"/>
  <c r="CA44" i="9"/>
  <c r="CB44" i="9"/>
  <c r="CC44" i="9"/>
  <c r="CD44" i="9"/>
  <c r="CE44" i="9"/>
  <c r="CF44" i="9"/>
  <c r="CG44" i="9"/>
  <c r="CH44" i="9"/>
  <c r="CI44" i="9"/>
  <c r="CJ44" i="9"/>
  <c r="CK44" i="9"/>
  <c r="CL44" i="9"/>
  <c r="CM44" i="9"/>
  <c r="CN44" i="9"/>
  <c r="CO44" i="9"/>
  <c r="CP44" i="9"/>
  <c r="CQ44" i="9"/>
  <c r="CR44" i="9"/>
  <c r="CS44" i="9"/>
  <c r="CT44" i="9"/>
  <c r="CU44" i="9"/>
  <c r="CV44" i="9"/>
  <c r="CW44" i="9"/>
  <c r="CX44" i="9"/>
  <c r="CY44" i="9"/>
  <c r="CZ44" i="9"/>
  <c r="DA44" i="9"/>
  <c r="DB44" i="9"/>
  <c r="DC44" i="9"/>
  <c r="DD44" i="9"/>
  <c r="DE44" i="9"/>
  <c r="DF44" i="9"/>
  <c r="DG44" i="9"/>
  <c r="DH44" i="9"/>
  <c r="DI44" i="9"/>
  <c r="DJ44" i="9"/>
  <c r="DK44" i="9"/>
  <c r="DL44" i="9"/>
  <c r="DM44" i="9"/>
  <c r="DN44" i="9"/>
  <c r="DO44" i="9"/>
  <c r="DP44" i="9"/>
  <c r="DQ44" i="9"/>
  <c r="DR44" i="9"/>
  <c r="DS44" i="9"/>
  <c r="DT44" i="9"/>
  <c r="DU44" i="9"/>
  <c r="DV44" i="9"/>
  <c r="DW44" i="9"/>
  <c r="DX44" i="9"/>
  <c r="DY44" i="9"/>
  <c r="DZ44" i="9"/>
  <c r="EA44" i="9"/>
  <c r="EB44" i="9"/>
  <c r="EC44" i="9"/>
  <c r="ED44" i="9"/>
  <c r="EE44" i="9"/>
  <c r="EF44" i="9"/>
  <c r="EG44" i="9"/>
  <c r="EH44" i="9"/>
  <c r="EI44" i="9"/>
  <c r="EJ44" i="9"/>
  <c r="EK44" i="9"/>
  <c r="EL44" i="9"/>
  <c r="EM44" i="9"/>
  <c r="EN44" i="9"/>
  <c r="EO44" i="9"/>
  <c r="EP44" i="9"/>
  <c r="EQ44" i="9"/>
  <c r="ER44" i="9"/>
  <c r="ES44" i="9"/>
  <c r="ET44" i="9"/>
  <c r="EU44" i="9"/>
  <c r="EV44" i="9"/>
  <c r="EW44" i="9"/>
  <c r="EX44" i="9"/>
  <c r="EY44" i="9"/>
  <c r="EZ44" i="9"/>
  <c r="FA44" i="9"/>
  <c r="FB44" i="9"/>
  <c r="FC44" i="9"/>
  <c r="FD44" i="9"/>
  <c r="FE44" i="9"/>
  <c r="FF44" i="9"/>
  <c r="FG44" i="9"/>
  <c r="FH44" i="9"/>
  <c r="FI44" i="9"/>
  <c r="FJ44" i="9"/>
  <c r="FK44" i="9"/>
  <c r="FL44" i="9"/>
  <c r="FM44" i="9"/>
  <c r="FN44" i="9"/>
  <c r="FO44" i="9"/>
  <c r="FP44" i="9"/>
  <c r="FQ44" i="9"/>
  <c r="FR44" i="9"/>
  <c r="FS44" i="9"/>
  <c r="FT44" i="9"/>
  <c r="FU44" i="9"/>
  <c r="FV44" i="9"/>
  <c r="FW44" i="9"/>
  <c r="FX44" i="9"/>
  <c r="FY44" i="9"/>
  <c r="FZ44" i="9"/>
  <c r="GA44" i="9"/>
  <c r="GB44" i="9"/>
  <c r="GC44" i="9"/>
  <c r="GD44" i="9"/>
  <c r="GE44" i="9"/>
  <c r="GF44" i="9"/>
  <c r="GG44" i="9"/>
  <c r="GH44" i="9"/>
  <c r="GI44" i="9"/>
  <c r="GJ44" i="9"/>
  <c r="GK44" i="9"/>
  <c r="GL44" i="9"/>
  <c r="GM44" i="9"/>
  <c r="GN44" i="9"/>
  <c r="GO44" i="9"/>
  <c r="GP44" i="9"/>
  <c r="GQ44" i="9"/>
  <c r="GR44" i="9"/>
  <c r="GS44" i="9"/>
  <c r="GT44" i="9"/>
  <c r="GU44" i="9"/>
  <c r="GV44" i="9"/>
  <c r="GW44" i="9"/>
  <c r="GX44" i="9"/>
  <c r="GY44" i="9"/>
  <c r="GZ44" i="9"/>
  <c r="HA44" i="9"/>
  <c r="HB44" i="9"/>
  <c r="HC44" i="9"/>
  <c r="HD44" i="9"/>
  <c r="HE44" i="9"/>
  <c r="HF44" i="9"/>
  <c r="HG44" i="9"/>
  <c r="HH44" i="9"/>
  <c r="HI44" i="9"/>
  <c r="HJ44" i="9"/>
  <c r="HK44" i="9"/>
  <c r="HL44" i="9"/>
  <c r="HM44" i="9"/>
  <c r="HN44" i="9"/>
  <c r="HO44" i="9"/>
  <c r="HP44" i="9"/>
  <c r="HQ44" i="9"/>
  <c r="HR44" i="9"/>
  <c r="HS44" i="9"/>
  <c r="HT44" i="9"/>
  <c r="HU44" i="9"/>
  <c r="HV44" i="9"/>
  <c r="HW44" i="9"/>
  <c r="HX44" i="9"/>
  <c r="HY44" i="9"/>
  <c r="HZ44" i="9"/>
  <c r="IA44" i="9"/>
  <c r="IB44" i="9"/>
  <c r="IC44" i="9"/>
  <c r="ID44" i="9"/>
  <c r="IE44" i="9"/>
  <c r="IF44" i="9"/>
  <c r="IG44" i="9"/>
  <c r="IH44" i="9"/>
  <c r="II44" i="9"/>
  <c r="IJ44" i="9"/>
  <c r="IK44" i="9"/>
  <c r="IL44" i="9"/>
  <c r="IM44" i="9"/>
  <c r="IN44" i="9"/>
  <c r="IO44" i="9"/>
  <c r="IP44" i="9"/>
  <c r="IQ44" i="9"/>
  <c r="IR44" i="9"/>
  <c r="IS44" i="9"/>
  <c r="IT44" i="9"/>
  <c r="IU44" i="9"/>
  <c r="IV44" i="9"/>
  <c r="A43" i="9"/>
  <c r="B43" i="9"/>
  <c r="C43" i="9"/>
  <c r="D43" i="9"/>
  <c r="E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43" i="9"/>
  <c r="AV43" i="9"/>
  <c r="AW43" i="9"/>
  <c r="AX43" i="9"/>
  <c r="AY43" i="9"/>
  <c r="AZ43" i="9"/>
  <c r="BA43" i="9"/>
  <c r="BB43" i="9"/>
  <c r="BC43" i="9"/>
  <c r="BD43" i="9"/>
  <c r="BE43" i="9"/>
  <c r="BF43" i="9"/>
  <c r="BG43" i="9"/>
  <c r="BH43" i="9"/>
  <c r="BI43" i="9"/>
  <c r="BJ43" i="9"/>
  <c r="BK43" i="9"/>
  <c r="BL43" i="9"/>
  <c r="BM43" i="9"/>
  <c r="BN43" i="9"/>
  <c r="BO43" i="9"/>
  <c r="BP43" i="9"/>
  <c r="BQ43" i="9"/>
  <c r="BR43" i="9"/>
  <c r="BS43" i="9"/>
  <c r="BT43" i="9"/>
  <c r="BU43" i="9"/>
  <c r="BV43" i="9"/>
  <c r="BW43" i="9"/>
  <c r="BX43" i="9"/>
  <c r="BY43" i="9"/>
  <c r="BZ43" i="9"/>
  <c r="CA43" i="9"/>
  <c r="CB43" i="9"/>
  <c r="CC43" i="9"/>
  <c r="CD43" i="9"/>
  <c r="CE43" i="9"/>
  <c r="CF43" i="9"/>
  <c r="CG43" i="9"/>
  <c r="CH43" i="9"/>
  <c r="CI43" i="9"/>
  <c r="CJ43" i="9"/>
  <c r="CK43" i="9"/>
  <c r="CL43" i="9"/>
  <c r="CM43" i="9"/>
  <c r="CN43" i="9"/>
  <c r="CO43" i="9"/>
  <c r="CP43" i="9"/>
  <c r="CQ43" i="9"/>
  <c r="CR43" i="9"/>
  <c r="CS43" i="9"/>
  <c r="CT43" i="9"/>
  <c r="CU43" i="9"/>
  <c r="CV43" i="9"/>
  <c r="CW43" i="9"/>
  <c r="CX43" i="9"/>
  <c r="CY43" i="9"/>
  <c r="CZ43" i="9"/>
  <c r="DA43" i="9"/>
  <c r="DB43" i="9"/>
  <c r="DC43" i="9"/>
  <c r="DD43" i="9"/>
  <c r="DE43" i="9"/>
  <c r="DF43" i="9"/>
  <c r="DG43" i="9"/>
  <c r="DH43" i="9"/>
  <c r="DI43" i="9"/>
  <c r="DJ43" i="9"/>
  <c r="DK43" i="9"/>
  <c r="DL43" i="9"/>
  <c r="DM43" i="9"/>
  <c r="DN43" i="9"/>
  <c r="DO43" i="9"/>
  <c r="DP43" i="9"/>
  <c r="DQ43" i="9"/>
  <c r="DR43" i="9"/>
  <c r="DS43" i="9"/>
  <c r="DT43" i="9"/>
  <c r="DU43" i="9"/>
  <c r="DV43" i="9"/>
  <c r="DW43" i="9"/>
  <c r="DX43" i="9"/>
  <c r="DY43" i="9"/>
  <c r="DZ43" i="9"/>
  <c r="EA43" i="9"/>
  <c r="EB43" i="9"/>
  <c r="EC43" i="9"/>
  <c r="ED43" i="9"/>
  <c r="EE43" i="9"/>
  <c r="EF43" i="9"/>
  <c r="EG43" i="9"/>
  <c r="EH43" i="9"/>
  <c r="EI43" i="9"/>
  <c r="EJ43" i="9"/>
  <c r="EK43" i="9"/>
  <c r="EL43" i="9"/>
  <c r="EM43" i="9"/>
  <c r="EN43" i="9"/>
  <c r="EO43" i="9"/>
  <c r="EP43" i="9"/>
  <c r="EQ43" i="9"/>
  <c r="ER43" i="9"/>
  <c r="ES43" i="9"/>
  <c r="ET43" i="9"/>
  <c r="EU43" i="9"/>
  <c r="EV43" i="9"/>
  <c r="EW43" i="9"/>
  <c r="EX43" i="9"/>
  <c r="EY43" i="9"/>
  <c r="EZ43" i="9"/>
  <c r="FA43" i="9"/>
  <c r="FB43" i="9"/>
  <c r="FC43" i="9"/>
  <c r="FD43" i="9"/>
  <c r="FE43" i="9"/>
  <c r="FF43" i="9"/>
  <c r="FG43" i="9"/>
  <c r="FH43" i="9"/>
  <c r="FI43" i="9"/>
  <c r="FJ43" i="9"/>
  <c r="FK43" i="9"/>
  <c r="FL43" i="9"/>
  <c r="FM43" i="9"/>
  <c r="FN43" i="9"/>
  <c r="FO43" i="9"/>
  <c r="FP43" i="9"/>
  <c r="FQ43" i="9"/>
  <c r="FR43" i="9"/>
  <c r="FS43" i="9"/>
  <c r="FT43" i="9"/>
  <c r="FU43" i="9"/>
  <c r="FV43" i="9"/>
  <c r="FW43" i="9"/>
  <c r="FX43" i="9"/>
  <c r="FY43" i="9"/>
  <c r="FZ43" i="9"/>
  <c r="GA43" i="9"/>
  <c r="GB43" i="9"/>
  <c r="GC43" i="9"/>
  <c r="GD43" i="9"/>
  <c r="GE43" i="9"/>
  <c r="GF43" i="9"/>
  <c r="GG43" i="9"/>
  <c r="GH43" i="9"/>
  <c r="GI43" i="9"/>
  <c r="GJ43" i="9"/>
  <c r="GK43" i="9"/>
  <c r="GL43" i="9"/>
  <c r="GM43" i="9"/>
  <c r="GN43" i="9"/>
  <c r="GO43" i="9"/>
  <c r="GP43" i="9"/>
  <c r="GQ43" i="9"/>
  <c r="GR43" i="9"/>
  <c r="GS43" i="9"/>
  <c r="GT43" i="9"/>
  <c r="GU43" i="9"/>
  <c r="GV43" i="9"/>
  <c r="GW43" i="9"/>
  <c r="GX43" i="9"/>
  <c r="GY43" i="9"/>
  <c r="GZ43" i="9"/>
  <c r="HA43" i="9"/>
  <c r="HB43" i="9"/>
  <c r="HC43" i="9"/>
  <c r="HD43" i="9"/>
  <c r="HE43" i="9"/>
  <c r="HF43" i="9"/>
  <c r="HG43" i="9"/>
  <c r="HH43" i="9"/>
  <c r="HI43" i="9"/>
  <c r="HJ43" i="9"/>
  <c r="HK43" i="9"/>
  <c r="HL43" i="9"/>
  <c r="HM43" i="9"/>
  <c r="HN43" i="9"/>
  <c r="HO43" i="9"/>
  <c r="HP43" i="9"/>
  <c r="HQ43" i="9"/>
  <c r="HR43" i="9"/>
  <c r="HS43" i="9"/>
  <c r="HT43" i="9"/>
  <c r="HU43" i="9"/>
  <c r="HV43" i="9"/>
  <c r="HW43" i="9"/>
  <c r="HX43" i="9"/>
  <c r="HY43" i="9"/>
  <c r="HZ43" i="9"/>
  <c r="IA43" i="9"/>
  <c r="IB43" i="9"/>
  <c r="IC43" i="9"/>
  <c r="ID43" i="9"/>
  <c r="IE43" i="9"/>
  <c r="IF43" i="9"/>
  <c r="IG43" i="9"/>
  <c r="IH43" i="9"/>
  <c r="II43" i="9"/>
  <c r="IJ43" i="9"/>
  <c r="IK43" i="9"/>
  <c r="IL43" i="9"/>
  <c r="IM43" i="9"/>
  <c r="IN43" i="9"/>
  <c r="IO43" i="9"/>
  <c r="IP43" i="9"/>
  <c r="IQ43" i="9"/>
  <c r="IR43" i="9"/>
  <c r="IS43" i="9"/>
  <c r="IT43" i="9"/>
  <c r="IU43" i="9"/>
  <c r="IV43" i="9"/>
  <c r="A42" i="9"/>
  <c r="B42" i="9"/>
  <c r="C42" i="9"/>
  <c r="D42" i="9"/>
  <c r="E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AV42" i="9"/>
  <c r="AW42" i="9"/>
  <c r="AX42" i="9"/>
  <c r="AY42" i="9"/>
  <c r="AZ42" i="9"/>
  <c r="BA42" i="9"/>
  <c r="BB42" i="9"/>
  <c r="BC42" i="9"/>
  <c r="BD42" i="9"/>
  <c r="BE42" i="9"/>
  <c r="BF42" i="9"/>
  <c r="BG42" i="9"/>
  <c r="BH42" i="9"/>
  <c r="BI42" i="9"/>
  <c r="BJ42" i="9"/>
  <c r="BK42" i="9"/>
  <c r="BL42" i="9"/>
  <c r="BM42" i="9"/>
  <c r="BN42" i="9"/>
  <c r="BO42" i="9"/>
  <c r="BP42" i="9"/>
  <c r="BQ42" i="9"/>
  <c r="BR42" i="9"/>
  <c r="BS42" i="9"/>
  <c r="BT42" i="9"/>
  <c r="BU42" i="9"/>
  <c r="BV42" i="9"/>
  <c r="BW42" i="9"/>
  <c r="BX42" i="9"/>
  <c r="BY42" i="9"/>
  <c r="BZ42" i="9"/>
  <c r="CA42" i="9"/>
  <c r="CB42" i="9"/>
  <c r="CC42" i="9"/>
  <c r="CD42" i="9"/>
  <c r="CE42" i="9"/>
  <c r="CF42" i="9"/>
  <c r="CG42" i="9"/>
  <c r="CH42" i="9"/>
  <c r="CI42" i="9"/>
  <c r="CJ42" i="9"/>
  <c r="CK42" i="9"/>
  <c r="CL42" i="9"/>
  <c r="CM42" i="9"/>
  <c r="CN42" i="9"/>
  <c r="CO42" i="9"/>
  <c r="CP42" i="9"/>
  <c r="CQ42" i="9"/>
  <c r="CR42" i="9"/>
  <c r="CS42" i="9"/>
  <c r="CT42" i="9"/>
  <c r="CU42" i="9"/>
  <c r="CV42" i="9"/>
  <c r="CW42" i="9"/>
  <c r="CX42" i="9"/>
  <c r="CY42" i="9"/>
  <c r="CZ42" i="9"/>
  <c r="DA42" i="9"/>
  <c r="DB42" i="9"/>
  <c r="DC42" i="9"/>
  <c r="DD42" i="9"/>
  <c r="DE42" i="9"/>
  <c r="DF42" i="9"/>
  <c r="DG42" i="9"/>
  <c r="DH42" i="9"/>
  <c r="DI42" i="9"/>
  <c r="DJ42" i="9"/>
  <c r="DK42" i="9"/>
  <c r="DL42" i="9"/>
  <c r="DM42" i="9"/>
  <c r="DN42" i="9"/>
  <c r="DO42" i="9"/>
  <c r="DP42" i="9"/>
  <c r="DQ42" i="9"/>
  <c r="DR42" i="9"/>
  <c r="DS42" i="9"/>
  <c r="DT42" i="9"/>
  <c r="DU42" i="9"/>
  <c r="DV42" i="9"/>
  <c r="DW42" i="9"/>
  <c r="DX42" i="9"/>
  <c r="DY42" i="9"/>
  <c r="DZ42" i="9"/>
  <c r="EA42" i="9"/>
  <c r="EB42" i="9"/>
  <c r="EC42" i="9"/>
  <c r="ED42" i="9"/>
  <c r="EE42" i="9"/>
  <c r="EF42" i="9"/>
  <c r="EG42" i="9"/>
  <c r="EH42" i="9"/>
  <c r="EI42" i="9"/>
  <c r="EJ42" i="9"/>
  <c r="EK42" i="9"/>
  <c r="EL42" i="9"/>
  <c r="EM42" i="9"/>
  <c r="EN42" i="9"/>
  <c r="EO42" i="9"/>
  <c r="EP42" i="9"/>
  <c r="EQ42" i="9"/>
  <c r="ER42" i="9"/>
  <c r="ES42" i="9"/>
  <c r="ET42" i="9"/>
  <c r="EU42" i="9"/>
  <c r="EV42" i="9"/>
  <c r="EW42" i="9"/>
  <c r="EX42" i="9"/>
  <c r="EY42" i="9"/>
  <c r="EZ42" i="9"/>
  <c r="FA42" i="9"/>
  <c r="FB42" i="9"/>
  <c r="FC42" i="9"/>
  <c r="FD42" i="9"/>
  <c r="FE42" i="9"/>
  <c r="FF42" i="9"/>
  <c r="FG42" i="9"/>
  <c r="FH42" i="9"/>
  <c r="FI42" i="9"/>
  <c r="FJ42" i="9"/>
  <c r="FK42" i="9"/>
  <c r="FL42" i="9"/>
  <c r="FM42" i="9"/>
  <c r="FN42" i="9"/>
  <c r="FO42" i="9"/>
  <c r="FP42" i="9"/>
  <c r="FQ42" i="9"/>
  <c r="FR42" i="9"/>
  <c r="FS42" i="9"/>
  <c r="FT42" i="9"/>
  <c r="FU42" i="9"/>
  <c r="FV42" i="9"/>
  <c r="FW42" i="9"/>
  <c r="FX42" i="9"/>
  <c r="FY42" i="9"/>
  <c r="FZ42" i="9"/>
  <c r="GA42" i="9"/>
  <c r="GB42" i="9"/>
  <c r="GC42" i="9"/>
  <c r="GD42" i="9"/>
  <c r="GE42" i="9"/>
  <c r="GF42" i="9"/>
  <c r="GG42" i="9"/>
  <c r="GH42" i="9"/>
  <c r="GI42" i="9"/>
  <c r="GJ42" i="9"/>
  <c r="GK42" i="9"/>
  <c r="GL42" i="9"/>
  <c r="GM42" i="9"/>
  <c r="GN42" i="9"/>
  <c r="GO42" i="9"/>
  <c r="GP42" i="9"/>
  <c r="GQ42" i="9"/>
  <c r="GR42" i="9"/>
  <c r="GS42" i="9"/>
  <c r="GT42" i="9"/>
  <c r="GU42" i="9"/>
  <c r="GV42" i="9"/>
  <c r="GW42" i="9"/>
  <c r="GX42" i="9"/>
  <c r="GY42" i="9"/>
  <c r="GZ42" i="9"/>
  <c r="HA42" i="9"/>
  <c r="HB42" i="9"/>
  <c r="HC42" i="9"/>
  <c r="HD42" i="9"/>
  <c r="HE42" i="9"/>
  <c r="HF42" i="9"/>
  <c r="HG42" i="9"/>
  <c r="HH42" i="9"/>
  <c r="HI42" i="9"/>
  <c r="HJ42" i="9"/>
  <c r="HK42" i="9"/>
  <c r="HL42" i="9"/>
  <c r="HM42" i="9"/>
  <c r="HN42" i="9"/>
  <c r="HO42" i="9"/>
  <c r="HP42" i="9"/>
  <c r="HQ42" i="9"/>
  <c r="HR42" i="9"/>
  <c r="HS42" i="9"/>
  <c r="HT42" i="9"/>
  <c r="HU42" i="9"/>
  <c r="HV42" i="9"/>
  <c r="HW42" i="9"/>
  <c r="HX42" i="9"/>
  <c r="HY42" i="9"/>
  <c r="HZ42" i="9"/>
  <c r="IA42" i="9"/>
  <c r="IB42" i="9"/>
  <c r="IC42" i="9"/>
  <c r="ID42" i="9"/>
  <c r="IE42" i="9"/>
  <c r="IF42" i="9"/>
  <c r="IG42" i="9"/>
  <c r="IH42" i="9"/>
  <c r="II42" i="9"/>
  <c r="IJ42" i="9"/>
  <c r="IK42" i="9"/>
  <c r="IL42" i="9"/>
  <c r="IM42" i="9"/>
  <c r="IN42" i="9"/>
  <c r="IO42" i="9"/>
  <c r="IP42" i="9"/>
  <c r="IQ42" i="9"/>
  <c r="IR42" i="9"/>
  <c r="IS42" i="9"/>
  <c r="IT42" i="9"/>
  <c r="IU42" i="9"/>
  <c r="IV42" i="9"/>
  <c r="A41" i="9"/>
  <c r="B41" i="9"/>
  <c r="C41" i="9"/>
  <c r="D41" i="9"/>
  <c r="E41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EE41" i="9"/>
  <c r="EF41" i="9"/>
  <c r="EG41" i="9"/>
  <c r="EH41" i="9"/>
  <c r="EI41" i="9"/>
  <c r="EJ41" i="9"/>
  <c r="EK41" i="9"/>
  <c r="EL41" i="9"/>
  <c r="EM41" i="9"/>
  <c r="EN41" i="9"/>
  <c r="EO41" i="9"/>
  <c r="EP41" i="9"/>
  <c r="EQ41" i="9"/>
  <c r="ER41" i="9"/>
  <c r="ES41" i="9"/>
  <c r="ET41" i="9"/>
  <c r="EU41" i="9"/>
  <c r="EV41" i="9"/>
  <c r="EW41" i="9"/>
  <c r="EX41" i="9"/>
  <c r="EY41" i="9"/>
  <c r="EZ41" i="9"/>
  <c r="FA41" i="9"/>
  <c r="FB41" i="9"/>
  <c r="FC41" i="9"/>
  <c r="FD41" i="9"/>
  <c r="FE41" i="9"/>
  <c r="FF41" i="9"/>
  <c r="FG41" i="9"/>
  <c r="FH41" i="9"/>
  <c r="FI41" i="9"/>
  <c r="FJ41" i="9"/>
  <c r="FK41" i="9"/>
  <c r="FL41" i="9"/>
  <c r="FM41" i="9"/>
  <c r="FN41" i="9"/>
  <c r="FO41" i="9"/>
  <c r="FP41" i="9"/>
  <c r="FQ41" i="9"/>
  <c r="FR41" i="9"/>
  <c r="FS41" i="9"/>
  <c r="FT41" i="9"/>
  <c r="FU41" i="9"/>
  <c r="FV41" i="9"/>
  <c r="FW41" i="9"/>
  <c r="FX41" i="9"/>
  <c r="FY41" i="9"/>
  <c r="FZ41" i="9"/>
  <c r="GA41" i="9"/>
  <c r="GB41" i="9"/>
  <c r="GC41" i="9"/>
  <c r="GD41" i="9"/>
  <c r="GE41" i="9"/>
  <c r="GF41" i="9"/>
  <c r="GG41" i="9"/>
  <c r="GH41" i="9"/>
  <c r="GI41" i="9"/>
  <c r="GJ41" i="9"/>
  <c r="GK41" i="9"/>
  <c r="GL41" i="9"/>
  <c r="GM41" i="9"/>
  <c r="GN41" i="9"/>
  <c r="GO41" i="9"/>
  <c r="GP41" i="9"/>
  <c r="GQ41" i="9"/>
  <c r="GR41" i="9"/>
  <c r="GS41" i="9"/>
  <c r="GT41" i="9"/>
  <c r="GU41" i="9"/>
  <c r="GV41" i="9"/>
  <c r="GW41" i="9"/>
  <c r="GX41" i="9"/>
  <c r="GY41" i="9"/>
  <c r="GZ41" i="9"/>
  <c r="HA41" i="9"/>
  <c r="HB41" i="9"/>
  <c r="HC41" i="9"/>
  <c r="HD41" i="9"/>
  <c r="HE41" i="9"/>
  <c r="HF41" i="9"/>
  <c r="HG41" i="9"/>
  <c r="HH41" i="9"/>
  <c r="HI41" i="9"/>
  <c r="HJ41" i="9"/>
  <c r="HK41" i="9"/>
  <c r="HL41" i="9"/>
  <c r="HM41" i="9"/>
  <c r="HN41" i="9"/>
  <c r="HO41" i="9"/>
  <c r="HP41" i="9"/>
  <c r="HQ41" i="9"/>
  <c r="HR41" i="9"/>
  <c r="HS41" i="9"/>
  <c r="HT41" i="9"/>
  <c r="HU41" i="9"/>
  <c r="HV41" i="9"/>
  <c r="HW41" i="9"/>
  <c r="HX41" i="9"/>
  <c r="HY41" i="9"/>
  <c r="HZ41" i="9"/>
  <c r="IA41" i="9"/>
  <c r="IB41" i="9"/>
  <c r="IC41" i="9"/>
  <c r="ID41" i="9"/>
  <c r="IE41" i="9"/>
  <c r="IF41" i="9"/>
  <c r="IG41" i="9"/>
  <c r="IH41" i="9"/>
  <c r="II41" i="9"/>
  <c r="IJ41" i="9"/>
  <c r="IK41" i="9"/>
  <c r="IL41" i="9"/>
  <c r="IM41" i="9"/>
  <c r="IN41" i="9"/>
  <c r="IO41" i="9"/>
  <c r="IP41" i="9"/>
  <c r="IQ41" i="9"/>
  <c r="IR41" i="9"/>
  <c r="IS41" i="9"/>
  <c r="IT41" i="9"/>
  <c r="IU41" i="9"/>
  <c r="IV41" i="9"/>
  <c r="A40" i="9"/>
  <c r="B40" i="9"/>
  <c r="C40" i="9"/>
  <c r="D40" i="9"/>
  <c r="E40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R40" i="9"/>
  <c r="AS40" i="9"/>
  <c r="AT40" i="9"/>
  <c r="AU40" i="9"/>
  <c r="AV40" i="9"/>
  <c r="AW40" i="9"/>
  <c r="AX40" i="9"/>
  <c r="AY40" i="9"/>
  <c r="AZ40" i="9"/>
  <c r="BA40" i="9"/>
  <c r="BB40" i="9"/>
  <c r="BC40" i="9"/>
  <c r="BD40" i="9"/>
  <c r="BE40" i="9"/>
  <c r="BF40" i="9"/>
  <c r="BG40" i="9"/>
  <c r="BH40" i="9"/>
  <c r="BI40" i="9"/>
  <c r="BJ40" i="9"/>
  <c r="BK40" i="9"/>
  <c r="BL40" i="9"/>
  <c r="BM40" i="9"/>
  <c r="BN40" i="9"/>
  <c r="BO40" i="9"/>
  <c r="BP40" i="9"/>
  <c r="BQ40" i="9"/>
  <c r="BR40" i="9"/>
  <c r="BS40" i="9"/>
  <c r="BT40" i="9"/>
  <c r="BU40" i="9"/>
  <c r="BV40" i="9"/>
  <c r="BW40" i="9"/>
  <c r="BX40" i="9"/>
  <c r="BY40" i="9"/>
  <c r="BZ40" i="9"/>
  <c r="CA40" i="9"/>
  <c r="CB40" i="9"/>
  <c r="CC40" i="9"/>
  <c r="CD40" i="9"/>
  <c r="CE40" i="9"/>
  <c r="CF40" i="9"/>
  <c r="CG40" i="9"/>
  <c r="CH40" i="9"/>
  <c r="CI40" i="9"/>
  <c r="CJ40" i="9"/>
  <c r="CK40" i="9"/>
  <c r="CL40" i="9"/>
  <c r="CM40" i="9"/>
  <c r="CN40" i="9"/>
  <c r="CO40" i="9"/>
  <c r="CP40" i="9"/>
  <c r="CQ40" i="9"/>
  <c r="CR40" i="9"/>
  <c r="CS40" i="9"/>
  <c r="CT40" i="9"/>
  <c r="CU40" i="9"/>
  <c r="CV40" i="9"/>
  <c r="CW40" i="9"/>
  <c r="CX40" i="9"/>
  <c r="CY40" i="9"/>
  <c r="CZ40" i="9"/>
  <c r="DA40" i="9"/>
  <c r="DB40" i="9"/>
  <c r="DC40" i="9"/>
  <c r="DD40" i="9"/>
  <c r="DE40" i="9"/>
  <c r="DF40" i="9"/>
  <c r="DG40" i="9"/>
  <c r="DH40" i="9"/>
  <c r="DI40" i="9"/>
  <c r="DJ40" i="9"/>
  <c r="DK40" i="9"/>
  <c r="DL40" i="9"/>
  <c r="DM40" i="9"/>
  <c r="DN40" i="9"/>
  <c r="DO40" i="9"/>
  <c r="DP40" i="9"/>
  <c r="DQ40" i="9"/>
  <c r="DR40" i="9"/>
  <c r="DS40" i="9"/>
  <c r="DT40" i="9"/>
  <c r="DU40" i="9"/>
  <c r="DV40" i="9"/>
  <c r="DW40" i="9"/>
  <c r="DX40" i="9"/>
  <c r="DY40" i="9"/>
  <c r="DZ40" i="9"/>
  <c r="EA40" i="9"/>
  <c r="EB40" i="9"/>
  <c r="EC40" i="9"/>
  <c r="ED40" i="9"/>
  <c r="EE40" i="9"/>
  <c r="EF40" i="9"/>
  <c r="EG40" i="9"/>
  <c r="EH40" i="9"/>
  <c r="EI40" i="9"/>
  <c r="EJ40" i="9"/>
  <c r="EK40" i="9"/>
  <c r="EL40" i="9"/>
  <c r="EM40" i="9"/>
  <c r="EN40" i="9"/>
  <c r="EO40" i="9"/>
  <c r="EP40" i="9"/>
  <c r="EQ40" i="9"/>
  <c r="ER40" i="9"/>
  <c r="ES40" i="9"/>
  <c r="ET40" i="9"/>
  <c r="EU40" i="9"/>
  <c r="EV40" i="9"/>
  <c r="EW40" i="9"/>
  <c r="EX40" i="9"/>
  <c r="EY40" i="9"/>
  <c r="EZ40" i="9"/>
  <c r="FA40" i="9"/>
  <c r="FB40" i="9"/>
  <c r="FC40" i="9"/>
  <c r="FD40" i="9"/>
  <c r="FE40" i="9"/>
  <c r="FF40" i="9"/>
  <c r="FG40" i="9"/>
  <c r="FH40" i="9"/>
  <c r="FI40" i="9"/>
  <c r="FJ40" i="9"/>
  <c r="FK40" i="9"/>
  <c r="FL40" i="9"/>
  <c r="FM40" i="9"/>
  <c r="FN40" i="9"/>
  <c r="FO40" i="9"/>
  <c r="FP40" i="9"/>
  <c r="FQ40" i="9"/>
  <c r="FR40" i="9"/>
  <c r="FS40" i="9"/>
  <c r="FT40" i="9"/>
  <c r="FU40" i="9"/>
  <c r="FV40" i="9"/>
  <c r="FW40" i="9"/>
  <c r="FX40" i="9"/>
  <c r="FY40" i="9"/>
  <c r="FZ40" i="9"/>
  <c r="GA40" i="9"/>
  <c r="GB40" i="9"/>
  <c r="GC40" i="9"/>
  <c r="GD40" i="9"/>
  <c r="GE40" i="9"/>
  <c r="GF40" i="9"/>
  <c r="GG40" i="9"/>
  <c r="GH40" i="9"/>
  <c r="GI40" i="9"/>
  <c r="GJ40" i="9"/>
  <c r="GK40" i="9"/>
  <c r="GL40" i="9"/>
  <c r="GM40" i="9"/>
  <c r="GN40" i="9"/>
  <c r="GO40" i="9"/>
  <c r="GP40" i="9"/>
  <c r="GQ40" i="9"/>
  <c r="GR40" i="9"/>
  <c r="GS40" i="9"/>
  <c r="GT40" i="9"/>
  <c r="GU40" i="9"/>
  <c r="GV40" i="9"/>
  <c r="GW40" i="9"/>
  <c r="GX40" i="9"/>
  <c r="GY40" i="9"/>
  <c r="GZ40" i="9"/>
  <c r="HA40" i="9"/>
  <c r="HB40" i="9"/>
  <c r="HC40" i="9"/>
  <c r="HD40" i="9"/>
  <c r="HE40" i="9"/>
  <c r="HF40" i="9"/>
  <c r="HG40" i="9"/>
  <c r="HH40" i="9"/>
  <c r="HI40" i="9"/>
  <c r="HJ40" i="9"/>
  <c r="HK40" i="9"/>
  <c r="HL40" i="9"/>
  <c r="HM40" i="9"/>
  <c r="HN40" i="9"/>
  <c r="HO40" i="9"/>
  <c r="HP40" i="9"/>
  <c r="HQ40" i="9"/>
  <c r="HR40" i="9"/>
  <c r="HS40" i="9"/>
  <c r="HT40" i="9"/>
  <c r="HU40" i="9"/>
  <c r="HV40" i="9"/>
  <c r="HW40" i="9"/>
  <c r="HX40" i="9"/>
  <c r="HY40" i="9"/>
  <c r="HZ40" i="9"/>
  <c r="IA40" i="9"/>
  <c r="IB40" i="9"/>
  <c r="IC40" i="9"/>
  <c r="ID40" i="9"/>
  <c r="IE40" i="9"/>
  <c r="IF40" i="9"/>
  <c r="IG40" i="9"/>
  <c r="IH40" i="9"/>
  <c r="II40" i="9"/>
  <c r="IJ40" i="9"/>
  <c r="IK40" i="9"/>
  <c r="IL40" i="9"/>
  <c r="IM40" i="9"/>
  <c r="IN40" i="9"/>
  <c r="IO40" i="9"/>
  <c r="IP40" i="9"/>
  <c r="IQ40" i="9"/>
  <c r="IR40" i="9"/>
  <c r="IS40" i="9"/>
  <c r="IT40" i="9"/>
  <c r="IU40" i="9"/>
  <c r="IV40" i="9"/>
  <c r="A39" i="9"/>
  <c r="B39" i="9"/>
  <c r="C39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AZ39" i="9"/>
  <c r="BA39" i="9"/>
  <c r="BB39" i="9"/>
  <c r="BC39" i="9"/>
  <c r="BD39" i="9"/>
  <c r="BE39" i="9"/>
  <c r="BF39" i="9"/>
  <c r="BG39" i="9"/>
  <c r="BH39" i="9"/>
  <c r="BI39" i="9"/>
  <c r="BJ39" i="9"/>
  <c r="BK39" i="9"/>
  <c r="BL39" i="9"/>
  <c r="BM39" i="9"/>
  <c r="BN39" i="9"/>
  <c r="BO39" i="9"/>
  <c r="BP39" i="9"/>
  <c r="BQ39" i="9"/>
  <c r="BR39" i="9"/>
  <c r="BS39" i="9"/>
  <c r="BT39" i="9"/>
  <c r="BU39" i="9"/>
  <c r="BV39" i="9"/>
  <c r="BW39" i="9"/>
  <c r="BX39" i="9"/>
  <c r="BY39" i="9"/>
  <c r="BZ39" i="9"/>
  <c r="CA39" i="9"/>
  <c r="CB39" i="9"/>
  <c r="CC39" i="9"/>
  <c r="CD39" i="9"/>
  <c r="CE39" i="9"/>
  <c r="CF39" i="9"/>
  <c r="CG39" i="9"/>
  <c r="CH39" i="9"/>
  <c r="CI39" i="9"/>
  <c r="CJ39" i="9"/>
  <c r="CK39" i="9"/>
  <c r="CL39" i="9"/>
  <c r="CM39" i="9"/>
  <c r="CN39" i="9"/>
  <c r="CO39" i="9"/>
  <c r="CP39" i="9"/>
  <c r="CQ39" i="9"/>
  <c r="CR39" i="9"/>
  <c r="CS39" i="9"/>
  <c r="CT39" i="9"/>
  <c r="CU39" i="9"/>
  <c r="CV39" i="9"/>
  <c r="CW39" i="9"/>
  <c r="CX39" i="9"/>
  <c r="CY39" i="9"/>
  <c r="CZ39" i="9"/>
  <c r="DA39" i="9"/>
  <c r="DB39" i="9"/>
  <c r="DC39" i="9"/>
  <c r="DD39" i="9"/>
  <c r="DE39" i="9"/>
  <c r="DF39" i="9"/>
  <c r="DG39" i="9"/>
  <c r="DH39" i="9"/>
  <c r="DI39" i="9"/>
  <c r="DJ39" i="9"/>
  <c r="DK39" i="9"/>
  <c r="DL39" i="9"/>
  <c r="DM39" i="9"/>
  <c r="DN39" i="9"/>
  <c r="DO39" i="9"/>
  <c r="DP39" i="9"/>
  <c r="DQ39" i="9"/>
  <c r="DR39" i="9"/>
  <c r="DS39" i="9"/>
  <c r="DT39" i="9"/>
  <c r="DU39" i="9"/>
  <c r="DV39" i="9"/>
  <c r="DW39" i="9"/>
  <c r="DX39" i="9"/>
  <c r="DY39" i="9"/>
  <c r="DZ39" i="9"/>
  <c r="EA39" i="9"/>
  <c r="EB39" i="9"/>
  <c r="EC39" i="9"/>
  <c r="ED39" i="9"/>
  <c r="EE39" i="9"/>
  <c r="EF39" i="9"/>
  <c r="EG39" i="9"/>
  <c r="EH39" i="9"/>
  <c r="EI39" i="9"/>
  <c r="EJ39" i="9"/>
  <c r="EK39" i="9"/>
  <c r="EL39" i="9"/>
  <c r="EM39" i="9"/>
  <c r="EN39" i="9"/>
  <c r="EO39" i="9"/>
  <c r="EP39" i="9"/>
  <c r="EQ39" i="9"/>
  <c r="ER39" i="9"/>
  <c r="ES39" i="9"/>
  <c r="ET39" i="9"/>
  <c r="EU39" i="9"/>
  <c r="EV39" i="9"/>
  <c r="EW39" i="9"/>
  <c r="EX39" i="9"/>
  <c r="EY39" i="9"/>
  <c r="EZ39" i="9"/>
  <c r="FA39" i="9"/>
  <c r="FB39" i="9"/>
  <c r="FC39" i="9"/>
  <c r="FD39" i="9"/>
  <c r="FE39" i="9"/>
  <c r="FF39" i="9"/>
  <c r="FG39" i="9"/>
  <c r="FH39" i="9"/>
  <c r="FI39" i="9"/>
  <c r="FJ39" i="9"/>
  <c r="FK39" i="9"/>
  <c r="FL39" i="9"/>
  <c r="FM39" i="9"/>
  <c r="FN39" i="9"/>
  <c r="FO39" i="9"/>
  <c r="FP39" i="9"/>
  <c r="FQ39" i="9"/>
  <c r="FR39" i="9"/>
  <c r="FS39" i="9"/>
  <c r="FT39" i="9"/>
  <c r="FU39" i="9"/>
  <c r="FV39" i="9"/>
  <c r="FW39" i="9"/>
  <c r="FX39" i="9"/>
  <c r="FY39" i="9"/>
  <c r="FZ39" i="9"/>
  <c r="GA39" i="9"/>
  <c r="GB39" i="9"/>
  <c r="GC39" i="9"/>
  <c r="GD39" i="9"/>
  <c r="GE39" i="9"/>
  <c r="GF39" i="9"/>
  <c r="GG39" i="9"/>
  <c r="GH39" i="9"/>
  <c r="GI39" i="9"/>
  <c r="GJ39" i="9"/>
  <c r="GK39" i="9"/>
  <c r="GL39" i="9"/>
  <c r="GM39" i="9"/>
  <c r="GN39" i="9"/>
  <c r="GO39" i="9"/>
  <c r="GP39" i="9"/>
  <c r="GQ39" i="9"/>
  <c r="GR39" i="9"/>
  <c r="GS39" i="9"/>
  <c r="GT39" i="9"/>
  <c r="GU39" i="9"/>
  <c r="GV39" i="9"/>
  <c r="GW39" i="9"/>
  <c r="GX39" i="9"/>
  <c r="GY39" i="9"/>
  <c r="GZ39" i="9"/>
  <c r="HA39" i="9"/>
  <c r="HB39" i="9"/>
  <c r="HC39" i="9"/>
  <c r="HD39" i="9"/>
  <c r="HE39" i="9"/>
  <c r="HF39" i="9"/>
  <c r="HG39" i="9"/>
  <c r="HH39" i="9"/>
  <c r="HI39" i="9"/>
  <c r="HJ39" i="9"/>
  <c r="HK39" i="9"/>
  <c r="HL39" i="9"/>
  <c r="HM39" i="9"/>
  <c r="HN39" i="9"/>
  <c r="HO39" i="9"/>
  <c r="HP39" i="9"/>
  <c r="HQ39" i="9"/>
  <c r="HR39" i="9"/>
  <c r="HS39" i="9"/>
  <c r="HT39" i="9"/>
  <c r="HU39" i="9"/>
  <c r="HV39" i="9"/>
  <c r="HW39" i="9"/>
  <c r="HX39" i="9"/>
  <c r="HY39" i="9"/>
  <c r="HZ39" i="9"/>
  <c r="IA39" i="9"/>
  <c r="IB39" i="9"/>
  <c r="IC39" i="9"/>
  <c r="ID39" i="9"/>
  <c r="IE39" i="9"/>
  <c r="IF39" i="9"/>
  <c r="IG39" i="9"/>
  <c r="IH39" i="9"/>
  <c r="II39" i="9"/>
  <c r="IJ39" i="9"/>
  <c r="IK39" i="9"/>
  <c r="IL39" i="9"/>
  <c r="IM39" i="9"/>
  <c r="IN39" i="9"/>
  <c r="IO39" i="9"/>
  <c r="IP39" i="9"/>
  <c r="IQ39" i="9"/>
  <c r="IR39" i="9"/>
  <c r="IS39" i="9"/>
  <c r="IT39" i="9"/>
  <c r="IU39" i="9"/>
  <c r="IV39" i="9"/>
  <c r="A38" i="9"/>
  <c r="B38" i="9"/>
  <c r="C38" i="9"/>
  <c r="D38" i="9"/>
  <c r="E38" i="9"/>
  <c r="F38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AR38" i="9"/>
  <c r="AS38" i="9"/>
  <c r="AT38" i="9"/>
  <c r="AU38" i="9"/>
  <c r="AV38" i="9"/>
  <c r="AW38" i="9"/>
  <c r="AX38" i="9"/>
  <c r="AY38" i="9"/>
  <c r="AZ38" i="9"/>
  <c r="BA38" i="9"/>
  <c r="BB38" i="9"/>
  <c r="BC38" i="9"/>
  <c r="BD38" i="9"/>
  <c r="BE38" i="9"/>
  <c r="BF38" i="9"/>
  <c r="BG38" i="9"/>
  <c r="BH38" i="9"/>
  <c r="BI38" i="9"/>
  <c r="BJ38" i="9"/>
  <c r="BK38" i="9"/>
  <c r="BL38" i="9"/>
  <c r="BM38" i="9"/>
  <c r="BN38" i="9"/>
  <c r="BO38" i="9"/>
  <c r="BP38" i="9"/>
  <c r="BQ38" i="9"/>
  <c r="BR38" i="9"/>
  <c r="BS38" i="9"/>
  <c r="BT38" i="9"/>
  <c r="BU38" i="9"/>
  <c r="BV38" i="9"/>
  <c r="BW38" i="9"/>
  <c r="BX38" i="9"/>
  <c r="BY38" i="9"/>
  <c r="BZ38" i="9"/>
  <c r="CA38" i="9"/>
  <c r="CB38" i="9"/>
  <c r="CC38" i="9"/>
  <c r="CD38" i="9"/>
  <c r="CE38" i="9"/>
  <c r="CF38" i="9"/>
  <c r="CG38" i="9"/>
  <c r="CH38" i="9"/>
  <c r="CI38" i="9"/>
  <c r="CJ38" i="9"/>
  <c r="CK38" i="9"/>
  <c r="CL38" i="9"/>
  <c r="CM38" i="9"/>
  <c r="CN38" i="9"/>
  <c r="CO38" i="9"/>
  <c r="CP38" i="9"/>
  <c r="CQ38" i="9"/>
  <c r="CR38" i="9"/>
  <c r="CS38" i="9"/>
  <c r="CT38" i="9"/>
  <c r="CU38" i="9"/>
  <c r="CV38" i="9"/>
  <c r="CW38" i="9"/>
  <c r="CX38" i="9"/>
  <c r="CY38" i="9"/>
  <c r="CZ38" i="9"/>
  <c r="DA38" i="9"/>
  <c r="DB38" i="9"/>
  <c r="DC38" i="9"/>
  <c r="DD38" i="9"/>
  <c r="DE38" i="9"/>
  <c r="DF38" i="9"/>
  <c r="DG38" i="9"/>
  <c r="DH38" i="9"/>
  <c r="DI38" i="9"/>
  <c r="DJ38" i="9"/>
  <c r="DK38" i="9"/>
  <c r="DL38" i="9"/>
  <c r="DM38" i="9"/>
  <c r="DN38" i="9"/>
  <c r="DO38" i="9"/>
  <c r="DP38" i="9"/>
  <c r="DQ38" i="9"/>
  <c r="DR38" i="9"/>
  <c r="DS38" i="9"/>
  <c r="DT38" i="9"/>
  <c r="DU38" i="9"/>
  <c r="DV38" i="9"/>
  <c r="DW38" i="9"/>
  <c r="DX38" i="9"/>
  <c r="DY38" i="9"/>
  <c r="DZ38" i="9"/>
  <c r="EA38" i="9"/>
  <c r="EB38" i="9"/>
  <c r="EC38" i="9"/>
  <c r="ED38" i="9"/>
  <c r="EE38" i="9"/>
  <c r="EF38" i="9"/>
  <c r="EG38" i="9"/>
  <c r="EH38" i="9"/>
  <c r="EI38" i="9"/>
  <c r="EJ38" i="9"/>
  <c r="EK38" i="9"/>
  <c r="EL38" i="9"/>
  <c r="EM38" i="9"/>
  <c r="EN38" i="9"/>
  <c r="EO38" i="9"/>
  <c r="EP38" i="9"/>
  <c r="EQ38" i="9"/>
  <c r="ER38" i="9"/>
  <c r="ES38" i="9"/>
  <c r="ET38" i="9"/>
  <c r="EU38" i="9"/>
  <c r="EV38" i="9"/>
  <c r="EW38" i="9"/>
  <c r="EX38" i="9"/>
  <c r="EY38" i="9"/>
  <c r="EZ38" i="9"/>
  <c r="FA38" i="9"/>
  <c r="FB38" i="9"/>
  <c r="FC38" i="9"/>
  <c r="FD38" i="9"/>
  <c r="FE38" i="9"/>
  <c r="FF38" i="9"/>
  <c r="FG38" i="9"/>
  <c r="FH38" i="9"/>
  <c r="FI38" i="9"/>
  <c r="FJ38" i="9"/>
  <c r="FK38" i="9"/>
  <c r="FL38" i="9"/>
  <c r="FM38" i="9"/>
  <c r="FN38" i="9"/>
  <c r="FO38" i="9"/>
  <c r="FP38" i="9"/>
  <c r="FQ38" i="9"/>
  <c r="FR38" i="9"/>
  <c r="FS38" i="9"/>
  <c r="FT38" i="9"/>
  <c r="FU38" i="9"/>
  <c r="FV38" i="9"/>
  <c r="FW38" i="9"/>
  <c r="FX38" i="9"/>
  <c r="FY38" i="9"/>
  <c r="FZ38" i="9"/>
  <c r="GA38" i="9"/>
  <c r="GB38" i="9"/>
  <c r="GC38" i="9"/>
  <c r="GD38" i="9"/>
  <c r="GE38" i="9"/>
  <c r="GF38" i="9"/>
  <c r="GG38" i="9"/>
  <c r="GH38" i="9"/>
  <c r="GI38" i="9"/>
  <c r="GJ38" i="9"/>
  <c r="GK38" i="9"/>
  <c r="GL38" i="9"/>
  <c r="GM38" i="9"/>
  <c r="GN38" i="9"/>
  <c r="GO38" i="9"/>
  <c r="GP38" i="9"/>
  <c r="GQ38" i="9"/>
  <c r="GR38" i="9"/>
  <c r="GS38" i="9"/>
  <c r="GT38" i="9"/>
  <c r="GU38" i="9"/>
  <c r="GV38" i="9"/>
  <c r="GW38" i="9"/>
  <c r="GX38" i="9"/>
  <c r="GY38" i="9"/>
  <c r="GZ38" i="9"/>
  <c r="HA38" i="9"/>
  <c r="HB38" i="9"/>
  <c r="HC38" i="9"/>
  <c r="HD38" i="9"/>
  <c r="HE38" i="9"/>
  <c r="HF38" i="9"/>
  <c r="HG38" i="9"/>
  <c r="HH38" i="9"/>
  <c r="HI38" i="9"/>
  <c r="HJ38" i="9"/>
  <c r="HK38" i="9"/>
  <c r="HL38" i="9"/>
  <c r="HM38" i="9"/>
  <c r="HN38" i="9"/>
  <c r="HO38" i="9"/>
  <c r="HP38" i="9"/>
  <c r="HQ38" i="9"/>
  <c r="HR38" i="9"/>
  <c r="HS38" i="9"/>
  <c r="HT38" i="9"/>
  <c r="HU38" i="9"/>
  <c r="HV38" i="9"/>
  <c r="HW38" i="9"/>
  <c r="HX38" i="9"/>
  <c r="HY38" i="9"/>
  <c r="HZ38" i="9"/>
  <c r="IA38" i="9"/>
  <c r="IB38" i="9"/>
  <c r="IC38" i="9"/>
  <c r="ID38" i="9"/>
  <c r="IE38" i="9"/>
  <c r="IF38" i="9"/>
  <c r="IG38" i="9"/>
  <c r="IH38" i="9"/>
  <c r="II38" i="9"/>
  <c r="IJ38" i="9"/>
  <c r="IK38" i="9"/>
  <c r="IL38" i="9"/>
  <c r="IM38" i="9"/>
  <c r="IN38" i="9"/>
  <c r="IO38" i="9"/>
  <c r="IP38" i="9"/>
  <c r="IQ38" i="9"/>
  <c r="IR38" i="9"/>
  <c r="IS38" i="9"/>
  <c r="IT38" i="9"/>
  <c r="IU38" i="9"/>
  <c r="IV38" i="9"/>
  <c r="A37" i="9"/>
  <c r="B37" i="9"/>
  <c r="C37" i="9"/>
  <c r="D37" i="9"/>
  <c r="E37" i="9"/>
  <c r="F37" i="9"/>
  <c r="G37" i="9"/>
  <c r="H37" i="9"/>
  <c r="I37" i="9"/>
  <c r="J37" i="9"/>
  <c r="K37" i="9"/>
  <c r="L37" i="9"/>
  <c r="M37" i="9"/>
  <c r="N37" i="9"/>
  <c r="O37" i="9"/>
  <c r="P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AV37" i="9"/>
  <c r="AW37" i="9"/>
  <c r="AX37" i="9"/>
  <c r="AY37" i="9"/>
  <c r="AZ37" i="9"/>
  <c r="BA37" i="9"/>
  <c r="BB37" i="9"/>
  <c r="BC37" i="9"/>
  <c r="BD37" i="9"/>
  <c r="BE37" i="9"/>
  <c r="BF37" i="9"/>
  <c r="BG37" i="9"/>
  <c r="BH37" i="9"/>
  <c r="BI37" i="9"/>
  <c r="BJ37" i="9"/>
  <c r="BK37" i="9"/>
  <c r="BL37" i="9"/>
  <c r="BM37" i="9"/>
  <c r="BN37" i="9"/>
  <c r="BO37" i="9"/>
  <c r="BP37" i="9"/>
  <c r="BQ37" i="9"/>
  <c r="BR37" i="9"/>
  <c r="BS37" i="9"/>
  <c r="BT37" i="9"/>
  <c r="BU37" i="9"/>
  <c r="BV37" i="9"/>
  <c r="BW37" i="9"/>
  <c r="BX37" i="9"/>
  <c r="BY37" i="9"/>
  <c r="BZ37" i="9"/>
  <c r="CA37" i="9"/>
  <c r="CB37" i="9"/>
  <c r="CC37" i="9"/>
  <c r="CD37" i="9"/>
  <c r="CE37" i="9"/>
  <c r="CF37" i="9"/>
  <c r="CG37" i="9"/>
  <c r="CH37" i="9"/>
  <c r="CI37" i="9"/>
  <c r="CJ37" i="9"/>
  <c r="CK37" i="9"/>
  <c r="CL37" i="9"/>
  <c r="CM37" i="9"/>
  <c r="CN37" i="9"/>
  <c r="CO37" i="9"/>
  <c r="CP37" i="9"/>
  <c r="CQ37" i="9"/>
  <c r="CR37" i="9"/>
  <c r="CS37" i="9"/>
  <c r="CT37" i="9"/>
  <c r="CU37" i="9"/>
  <c r="CV37" i="9"/>
  <c r="CW37" i="9"/>
  <c r="CX37" i="9"/>
  <c r="CY37" i="9"/>
  <c r="CZ37" i="9"/>
  <c r="DA37" i="9"/>
  <c r="DB37" i="9"/>
  <c r="DC37" i="9"/>
  <c r="DD37" i="9"/>
  <c r="DE37" i="9"/>
  <c r="DF37" i="9"/>
  <c r="DG37" i="9"/>
  <c r="DH37" i="9"/>
  <c r="DI37" i="9"/>
  <c r="DJ37" i="9"/>
  <c r="DK37" i="9"/>
  <c r="DL37" i="9"/>
  <c r="DM37" i="9"/>
  <c r="DN37" i="9"/>
  <c r="DO37" i="9"/>
  <c r="DP37" i="9"/>
  <c r="DQ37" i="9"/>
  <c r="DR37" i="9"/>
  <c r="DS37" i="9"/>
  <c r="DT37" i="9"/>
  <c r="DU37" i="9"/>
  <c r="DV37" i="9"/>
  <c r="DW37" i="9"/>
  <c r="DX37" i="9"/>
  <c r="DY37" i="9"/>
  <c r="DZ37" i="9"/>
  <c r="EA37" i="9"/>
  <c r="EB37" i="9"/>
  <c r="EC37" i="9"/>
  <c r="ED37" i="9"/>
  <c r="EE37" i="9"/>
  <c r="EF37" i="9"/>
  <c r="EG37" i="9"/>
  <c r="EH37" i="9"/>
  <c r="EI37" i="9"/>
  <c r="EJ37" i="9"/>
  <c r="EK37" i="9"/>
  <c r="EL37" i="9"/>
  <c r="EM37" i="9"/>
  <c r="EN37" i="9"/>
  <c r="EO37" i="9"/>
  <c r="EP37" i="9"/>
  <c r="EQ37" i="9"/>
  <c r="ER37" i="9"/>
  <c r="ES37" i="9"/>
  <c r="ET37" i="9"/>
  <c r="EU37" i="9"/>
  <c r="EV37" i="9"/>
  <c r="EW37" i="9"/>
  <c r="EX37" i="9"/>
  <c r="EY37" i="9"/>
  <c r="EZ37" i="9"/>
  <c r="FA37" i="9"/>
  <c r="FB37" i="9"/>
  <c r="FC37" i="9"/>
  <c r="FD37" i="9"/>
  <c r="FE37" i="9"/>
  <c r="FF37" i="9"/>
  <c r="FG37" i="9"/>
  <c r="FH37" i="9"/>
  <c r="FI37" i="9"/>
  <c r="FJ37" i="9"/>
  <c r="FK37" i="9"/>
  <c r="FL37" i="9"/>
  <c r="FM37" i="9"/>
  <c r="FN37" i="9"/>
  <c r="FO37" i="9"/>
  <c r="FP37" i="9"/>
  <c r="FQ37" i="9"/>
  <c r="FR37" i="9"/>
  <c r="FS37" i="9"/>
  <c r="FT37" i="9"/>
  <c r="FU37" i="9"/>
  <c r="FV37" i="9"/>
  <c r="FW37" i="9"/>
  <c r="FX37" i="9"/>
  <c r="FY37" i="9"/>
  <c r="FZ37" i="9"/>
  <c r="GA37" i="9"/>
  <c r="GB37" i="9"/>
  <c r="GC37" i="9"/>
  <c r="GD37" i="9"/>
  <c r="GE37" i="9"/>
  <c r="GF37" i="9"/>
  <c r="GG37" i="9"/>
  <c r="GH37" i="9"/>
  <c r="GI37" i="9"/>
  <c r="GJ37" i="9"/>
  <c r="GK37" i="9"/>
  <c r="GL37" i="9"/>
  <c r="GM37" i="9"/>
  <c r="GN37" i="9"/>
  <c r="GO37" i="9"/>
  <c r="GP37" i="9"/>
  <c r="GQ37" i="9"/>
  <c r="GR37" i="9"/>
  <c r="GS37" i="9"/>
  <c r="GT37" i="9"/>
  <c r="GU37" i="9"/>
  <c r="GV37" i="9"/>
  <c r="GW37" i="9"/>
  <c r="GX37" i="9"/>
  <c r="GY37" i="9"/>
  <c r="GZ37" i="9"/>
  <c r="HA37" i="9"/>
  <c r="HB37" i="9"/>
  <c r="HC37" i="9"/>
  <c r="HD37" i="9"/>
  <c r="HE37" i="9"/>
  <c r="HF37" i="9"/>
  <c r="HG37" i="9"/>
  <c r="HH37" i="9"/>
  <c r="HI37" i="9"/>
  <c r="HJ37" i="9"/>
  <c r="HK37" i="9"/>
  <c r="HL37" i="9"/>
  <c r="HM37" i="9"/>
  <c r="HN37" i="9"/>
  <c r="HO37" i="9"/>
  <c r="HP37" i="9"/>
  <c r="HQ37" i="9"/>
  <c r="HR37" i="9"/>
  <c r="HS37" i="9"/>
  <c r="HT37" i="9"/>
  <c r="HU37" i="9"/>
  <c r="HV37" i="9"/>
  <c r="HW37" i="9"/>
  <c r="HX37" i="9"/>
  <c r="HY37" i="9"/>
  <c r="HZ37" i="9"/>
  <c r="IA37" i="9"/>
  <c r="IB37" i="9"/>
  <c r="IC37" i="9"/>
  <c r="ID37" i="9"/>
  <c r="IE37" i="9"/>
  <c r="IF37" i="9"/>
  <c r="IG37" i="9"/>
  <c r="IH37" i="9"/>
  <c r="II37" i="9"/>
  <c r="IJ37" i="9"/>
  <c r="IK37" i="9"/>
  <c r="IL37" i="9"/>
  <c r="IM37" i="9"/>
  <c r="IN37" i="9"/>
  <c r="IO37" i="9"/>
  <c r="IP37" i="9"/>
  <c r="IQ37" i="9"/>
  <c r="IR37" i="9"/>
  <c r="IS37" i="9"/>
  <c r="IT37" i="9"/>
  <c r="IU37" i="9"/>
  <c r="IV37" i="9"/>
  <c r="A36" i="9"/>
  <c r="B36" i="9"/>
  <c r="C36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V36" i="9"/>
  <c r="AW36" i="9"/>
  <c r="AX36" i="9"/>
  <c r="AY36" i="9"/>
  <c r="AZ36" i="9"/>
  <c r="BA36" i="9"/>
  <c r="BB36" i="9"/>
  <c r="BC36" i="9"/>
  <c r="BD36" i="9"/>
  <c r="BE36" i="9"/>
  <c r="BF36" i="9"/>
  <c r="BG36" i="9"/>
  <c r="BH36" i="9"/>
  <c r="BI36" i="9"/>
  <c r="BJ36" i="9"/>
  <c r="BK36" i="9"/>
  <c r="BL36" i="9"/>
  <c r="BM36" i="9"/>
  <c r="BN36" i="9"/>
  <c r="BO36" i="9"/>
  <c r="BP36" i="9"/>
  <c r="BQ36" i="9"/>
  <c r="BR36" i="9"/>
  <c r="BS36" i="9"/>
  <c r="BT36" i="9"/>
  <c r="BU36" i="9"/>
  <c r="BV36" i="9"/>
  <c r="BW36" i="9"/>
  <c r="BX36" i="9"/>
  <c r="BY36" i="9"/>
  <c r="BZ36" i="9"/>
  <c r="CA36" i="9"/>
  <c r="CB36" i="9"/>
  <c r="CC36" i="9"/>
  <c r="CD36" i="9"/>
  <c r="CE36" i="9"/>
  <c r="CF36" i="9"/>
  <c r="CG36" i="9"/>
  <c r="CH36" i="9"/>
  <c r="CI36" i="9"/>
  <c r="CJ36" i="9"/>
  <c r="CK36" i="9"/>
  <c r="CL36" i="9"/>
  <c r="CM36" i="9"/>
  <c r="CN36" i="9"/>
  <c r="CO36" i="9"/>
  <c r="CP36" i="9"/>
  <c r="CQ36" i="9"/>
  <c r="CR36" i="9"/>
  <c r="CS36" i="9"/>
  <c r="CT36" i="9"/>
  <c r="CU36" i="9"/>
  <c r="CV36" i="9"/>
  <c r="CW36" i="9"/>
  <c r="CX36" i="9"/>
  <c r="CY36" i="9"/>
  <c r="CZ36" i="9"/>
  <c r="DA36" i="9"/>
  <c r="DB36" i="9"/>
  <c r="DC36" i="9"/>
  <c r="DD36" i="9"/>
  <c r="DE36" i="9"/>
  <c r="DF36" i="9"/>
  <c r="DG36" i="9"/>
  <c r="DH36" i="9"/>
  <c r="DI36" i="9"/>
  <c r="DJ36" i="9"/>
  <c r="DK36" i="9"/>
  <c r="DL36" i="9"/>
  <c r="DM36" i="9"/>
  <c r="DN36" i="9"/>
  <c r="DO36" i="9"/>
  <c r="DP36" i="9"/>
  <c r="DQ36" i="9"/>
  <c r="DR36" i="9"/>
  <c r="DS36" i="9"/>
  <c r="DT36" i="9"/>
  <c r="DU36" i="9"/>
  <c r="DV36" i="9"/>
  <c r="DW36" i="9"/>
  <c r="DX36" i="9"/>
  <c r="DY36" i="9"/>
  <c r="DZ36" i="9"/>
  <c r="EA36" i="9"/>
  <c r="EB36" i="9"/>
  <c r="EC36" i="9"/>
  <c r="ED36" i="9"/>
  <c r="EE36" i="9"/>
  <c r="EF36" i="9"/>
  <c r="EG36" i="9"/>
  <c r="EH36" i="9"/>
  <c r="EI36" i="9"/>
  <c r="EJ36" i="9"/>
  <c r="EK36" i="9"/>
  <c r="EL36" i="9"/>
  <c r="EM36" i="9"/>
  <c r="EN36" i="9"/>
  <c r="EO36" i="9"/>
  <c r="EP36" i="9"/>
  <c r="EQ36" i="9"/>
  <c r="ER36" i="9"/>
  <c r="ES36" i="9"/>
  <c r="ET36" i="9"/>
  <c r="EU36" i="9"/>
  <c r="EV36" i="9"/>
  <c r="EW36" i="9"/>
  <c r="EX36" i="9"/>
  <c r="EY36" i="9"/>
  <c r="EZ36" i="9"/>
  <c r="FA36" i="9"/>
  <c r="FB36" i="9"/>
  <c r="FC36" i="9"/>
  <c r="FD36" i="9"/>
  <c r="FE36" i="9"/>
  <c r="FF36" i="9"/>
  <c r="FG36" i="9"/>
  <c r="FH36" i="9"/>
  <c r="FI36" i="9"/>
  <c r="FJ36" i="9"/>
  <c r="FK36" i="9"/>
  <c r="FL36" i="9"/>
  <c r="FM36" i="9"/>
  <c r="FN36" i="9"/>
  <c r="FO36" i="9"/>
  <c r="FP36" i="9"/>
  <c r="FQ36" i="9"/>
  <c r="FR36" i="9"/>
  <c r="FS36" i="9"/>
  <c r="FT36" i="9"/>
  <c r="FU36" i="9"/>
  <c r="FV36" i="9"/>
  <c r="FW36" i="9"/>
  <c r="FX36" i="9"/>
  <c r="FY36" i="9"/>
  <c r="FZ36" i="9"/>
  <c r="GA36" i="9"/>
  <c r="GB36" i="9"/>
  <c r="GC36" i="9"/>
  <c r="GD36" i="9"/>
  <c r="GE36" i="9"/>
  <c r="GF36" i="9"/>
  <c r="GG36" i="9"/>
  <c r="GH36" i="9"/>
  <c r="GI36" i="9"/>
  <c r="GJ36" i="9"/>
  <c r="GK36" i="9"/>
  <c r="GL36" i="9"/>
  <c r="GM36" i="9"/>
  <c r="GN36" i="9"/>
  <c r="GO36" i="9"/>
  <c r="GP36" i="9"/>
  <c r="GQ36" i="9"/>
  <c r="GR36" i="9"/>
  <c r="GS36" i="9"/>
  <c r="GT36" i="9"/>
  <c r="GU36" i="9"/>
  <c r="GV36" i="9"/>
  <c r="GW36" i="9"/>
  <c r="GX36" i="9"/>
  <c r="GY36" i="9"/>
  <c r="GZ36" i="9"/>
  <c r="HA36" i="9"/>
  <c r="HB36" i="9"/>
  <c r="HC36" i="9"/>
  <c r="HD36" i="9"/>
  <c r="HE36" i="9"/>
  <c r="HF36" i="9"/>
  <c r="HG36" i="9"/>
  <c r="HH36" i="9"/>
  <c r="HI36" i="9"/>
  <c r="HJ36" i="9"/>
  <c r="HK36" i="9"/>
  <c r="HL36" i="9"/>
  <c r="HM36" i="9"/>
  <c r="HN36" i="9"/>
  <c r="HO36" i="9"/>
  <c r="HP36" i="9"/>
  <c r="HQ36" i="9"/>
  <c r="HR36" i="9"/>
  <c r="HS36" i="9"/>
  <c r="HT36" i="9"/>
  <c r="HU36" i="9"/>
  <c r="HV36" i="9"/>
  <c r="HW36" i="9"/>
  <c r="HX36" i="9"/>
  <c r="HY36" i="9"/>
  <c r="HZ36" i="9"/>
  <c r="IA36" i="9"/>
  <c r="IB36" i="9"/>
  <c r="IC36" i="9"/>
  <c r="ID36" i="9"/>
  <c r="IE36" i="9"/>
  <c r="IF36" i="9"/>
  <c r="IG36" i="9"/>
  <c r="IH36" i="9"/>
  <c r="II36" i="9"/>
  <c r="IJ36" i="9"/>
  <c r="IK36" i="9"/>
  <c r="IL36" i="9"/>
  <c r="IM36" i="9"/>
  <c r="IN36" i="9"/>
  <c r="IO36" i="9"/>
  <c r="IP36" i="9"/>
  <c r="IQ36" i="9"/>
  <c r="IR36" i="9"/>
  <c r="IS36" i="9"/>
  <c r="IT36" i="9"/>
  <c r="IU36" i="9"/>
  <c r="IV36" i="9"/>
  <c r="A35" i="9"/>
  <c r="B35" i="9"/>
  <c r="C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U35" i="9"/>
  <c r="AV35" i="9"/>
  <c r="AW35" i="9"/>
  <c r="AX35" i="9"/>
  <c r="AY35" i="9"/>
  <c r="AZ35" i="9"/>
  <c r="BA35" i="9"/>
  <c r="BB35" i="9"/>
  <c r="BC35" i="9"/>
  <c r="BD35" i="9"/>
  <c r="BE35" i="9"/>
  <c r="BF35" i="9"/>
  <c r="BG35" i="9"/>
  <c r="BH35" i="9"/>
  <c r="BI35" i="9"/>
  <c r="BJ35" i="9"/>
  <c r="BK35" i="9"/>
  <c r="BL35" i="9"/>
  <c r="BM35" i="9"/>
  <c r="BN35" i="9"/>
  <c r="BO35" i="9"/>
  <c r="BP35" i="9"/>
  <c r="BQ35" i="9"/>
  <c r="BR35" i="9"/>
  <c r="BS35" i="9"/>
  <c r="BT35" i="9"/>
  <c r="BU35" i="9"/>
  <c r="BV35" i="9"/>
  <c r="BW35" i="9"/>
  <c r="BX35" i="9"/>
  <c r="BY35" i="9"/>
  <c r="BZ35" i="9"/>
  <c r="CA35" i="9"/>
  <c r="CB35" i="9"/>
  <c r="CC35" i="9"/>
  <c r="CD35" i="9"/>
  <c r="CE35" i="9"/>
  <c r="CF35" i="9"/>
  <c r="CG35" i="9"/>
  <c r="CH35" i="9"/>
  <c r="CI35" i="9"/>
  <c r="CJ35" i="9"/>
  <c r="CK35" i="9"/>
  <c r="CL35" i="9"/>
  <c r="CM35" i="9"/>
  <c r="CN35" i="9"/>
  <c r="CO35" i="9"/>
  <c r="CP35" i="9"/>
  <c r="CQ35" i="9"/>
  <c r="CR35" i="9"/>
  <c r="CS35" i="9"/>
  <c r="CT35" i="9"/>
  <c r="CU35" i="9"/>
  <c r="CV35" i="9"/>
  <c r="CW35" i="9"/>
  <c r="CX35" i="9"/>
  <c r="CY35" i="9"/>
  <c r="CZ35" i="9"/>
  <c r="DA35" i="9"/>
  <c r="DB35" i="9"/>
  <c r="DC35" i="9"/>
  <c r="DD35" i="9"/>
  <c r="DE35" i="9"/>
  <c r="DF35" i="9"/>
  <c r="DG35" i="9"/>
  <c r="DH35" i="9"/>
  <c r="DI35" i="9"/>
  <c r="DJ35" i="9"/>
  <c r="DK35" i="9"/>
  <c r="DL35" i="9"/>
  <c r="DM35" i="9"/>
  <c r="DN35" i="9"/>
  <c r="DO35" i="9"/>
  <c r="DP35" i="9"/>
  <c r="DQ35" i="9"/>
  <c r="DR35" i="9"/>
  <c r="DS35" i="9"/>
  <c r="DT35" i="9"/>
  <c r="DU35" i="9"/>
  <c r="DV35" i="9"/>
  <c r="DW35" i="9"/>
  <c r="DX35" i="9"/>
  <c r="DY35" i="9"/>
  <c r="DZ35" i="9"/>
  <c r="EA35" i="9"/>
  <c r="EB35" i="9"/>
  <c r="EC35" i="9"/>
  <c r="ED35" i="9"/>
  <c r="EE35" i="9"/>
  <c r="EF35" i="9"/>
  <c r="EG35" i="9"/>
  <c r="EH35" i="9"/>
  <c r="EI35" i="9"/>
  <c r="EJ35" i="9"/>
  <c r="EK35" i="9"/>
  <c r="EL35" i="9"/>
  <c r="EM35" i="9"/>
  <c r="EN35" i="9"/>
  <c r="EO35" i="9"/>
  <c r="EP35" i="9"/>
  <c r="EQ35" i="9"/>
  <c r="ER35" i="9"/>
  <c r="ES35" i="9"/>
  <c r="ET35" i="9"/>
  <c r="EU35" i="9"/>
  <c r="EV35" i="9"/>
  <c r="EW35" i="9"/>
  <c r="EX35" i="9"/>
  <c r="EY35" i="9"/>
  <c r="EZ35" i="9"/>
  <c r="FA35" i="9"/>
  <c r="FB35" i="9"/>
  <c r="FC35" i="9"/>
  <c r="FD35" i="9"/>
  <c r="FE35" i="9"/>
  <c r="FF35" i="9"/>
  <c r="FG35" i="9"/>
  <c r="FH35" i="9"/>
  <c r="FI35" i="9"/>
  <c r="FJ35" i="9"/>
  <c r="FK35" i="9"/>
  <c r="FL35" i="9"/>
  <c r="FM35" i="9"/>
  <c r="FN35" i="9"/>
  <c r="FO35" i="9"/>
  <c r="FP35" i="9"/>
  <c r="FQ35" i="9"/>
  <c r="FR35" i="9"/>
  <c r="FS35" i="9"/>
  <c r="FT35" i="9"/>
  <c r="FU35" i="9"/>
  <c r="FV35" i="9"/>
  <c r="FW35" i="9"/>
  <c r="FX35" i="9"/>
  <c r="FY35" i="9"/>
  <c r="FZ35" i="9"/>
  <c r="GA35" i="9"/>
  <c r="GB35" i="9"/>
  <c r="GC35" i="9"/>
  <c r="GD35" i="9"/>
  <c r="GE35" i="9"/>
  <c r="GF35" i="9"/>
  <c r="GG35" i="9"/>
  <c r="GH35" i="9"/>
  <c r="GI35" i="9"/>
  <c r="GJ35" i="9"/>
  <c r="GK35" i="9"/>
  <c r="GL35" i="9"/>
  <c r="GM35" i="9"/>
  <c r="GN35" i="9"/>
  <c r="GO35" i="9"/>
  <c r="GP35" i="9"/>
  <c r="GQ35" i="9"/>
  <c r="GR35" i="9"/>
  <c r="GS35" i="9"/>
  <c r="GT35" i="9"/>
  <c r="GU35" i="9"/>
  <c r="GV35" i="9"/>
  <c r="GW35" i="9"/>
  <c r="GX35" i="9"/>
  <c r="GY35" i="9"/>
  <c r="GZ35" i="9"/>
  <c r="HA35" i="9"/>
  <c r="HB35" i="9"/>
  <c r="HC35" i="9"/>
  <c r="HD35" i="9"/>
  <c r="HE35" i="9"/>
  <c r="HF35" i="9"/>
  <c r="HG35" i="9"/>
  <c r="HH35" i="9"/>
  <c r="HI35" i="9"/>
  <c r="HJ35" i="9"/>
  <c r="HK35" i="9"/>
  <c r="HL35" i="9"/>
  <c r="HM35" i="9"/>
  <c r="HN35" i="9"/>
  <c r="HO35" i="9"/>
  <c r="HP35" i="9"/>
  <c r="HQ35" i="9"/>
  <c r="HR35" i="9"/>
  <c r="HS35" i="9"/>
  <c r="HT35" i="9"/>
  <c r="HU35" i="9"/>
  <c r="HV35" i="9"/>
  <c r="HW35" i="9"/>
  <c r="HX35" i="9"/>
  <c r="HY35" i="9"/>
  <c r="HZ35" i="9"/>
  <c r="IA35" i="9"/>
  <c r="IB35" i="9"/>
  <c r="IC35" i="9"/>
  <c r="ID35" i="9"/>
  <c r="IE35" i="9"/>
  <c r="IF35" i="9"/>
  <c r="IG35" i="9"/>
  <c r="IH35" i="9"/>
  <c r="II35" i="9"/>
  <c r="IJ35" i="9"/>
  <c r="IK35" i="9"/>
  <c r="IL35" i="9"/>
  <c r="IM35" i="9"/>
  <c r="IN35" i="9"/>
  <c r="IO35" i="9"/>
  <c r="IP35" i="9"/>
  <c r="IQ35" i="9"/>
  <c r="IR35" i="9"/>
  <c r="IS35" i="9"/>
  <c r="IT35" i="9"/>
  <c r="IU35" i="9"/>
  <c r="IV35" i="9"/>
  <c r="A34" i="9"/>
  <c r="B34" i="9"/>
  <c r="C34" i="9"/>
  <c r="D34" i="9"/>
  <c r="E34" i="9"/>
  <c r="F34" i="9"/>
  <c r="H34" i="9"/>
  <c r="I34" i="9"/>
  <c r="J34" i="9"/>
  <c r="K34" i="9"/>
  <c r="L34" i="9"/>
  <c r="M34" i="9"/>
  <c r="N34" i="9"/>
  <c r="O34" i="9"/>
  <c r="P34" i="9"/>
  <c r="Q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O34" i="9"/>
  <c r="AP34" i="9"/>
  <c r="AQ34" i="9"/>
  <c r="AR34" i="9"/>
  <c r="AS34" i="9"/>
  <c r="AT34" i="9"/>
  <c r="AU34" i="9"/>
  <c r="AV34" i="9"/>
  <c r="AW34" i="9"/>
  <c r="AX34" i="9"/>
  <c r="AZ34" i="9"/>
  <c r="BA34" i="9"/>
  <c r="BB34" i="9"/>
  <c r="BC34" i="9"/>
  <c r="BD34" i="9"/>
  <c r="BE34" i="9"/>
  <c r="BF34" i="9"/>
  <c r="BG34" i="9"/>
  <c r="BH34" i="9"/>
  <c r="BI34" i="9"/>
  <c r="BL34" i="9"/>
  <c r="BM34" i="9"/>
  <c r="BN34" i="9"/>
  <c r="BO34" i="9"/>
  <c r="BP34" i="9"/>
  <c r="BQ34" i="9"/>
  <c r="BR34" i="9"/>
  <c r="BS34" i="9"/>
  <c r="BT34" i="9"/>
  <c r="BU34" i="9"/>
  <c r="BV34" i="9"/>
  <c r="BW34" i="9"/>
  <c r="BX34" i="9"/>
  <c r="BY34" i="9"/>
  <c r="BZ34" i="9"/>
  <c r="CA34" i="9"/>
  <c r="CB34" i="9"/>
  <c r="CC34" i="9"/>
  <c r="CD34" i="9"/>
  <c r="CE34" i="9"/>
  <c r="CF34" i="9"/>
  <c r="CG34" i="9"/>
  <c r="CH34" i="9"/>
  <c r="CI34" i="9"/>
  <c r="CJ34" i="9"/>
  <c r="CK34" i="9"/>
  <c r="CL34" i="9"/>
  <c r="CM34" i="9"/>
  <c r="CN34" i="9"/>
  <c r="CO34" i="9"/>
  <c r="CP34" i="9"/>
  <c r="CR34" i="9"/>
  <c r="CS34" i="9"/>
  <c r="CT34" i="9"/>
  <c r="CU34" i="9"/>
  <c r="CV34" i="9"/>
  <c r="CW34" i="9"/>
  <c r="CX34" i="9"/>
  <c r="CY34" i="9"/>
  <c r="CZ34" i="9"/>
  <c r="DA34" i="9"/>
  <c r="DB34" i="9"/>
  <c r="DC34" i="9"/>
  <c r="DD34" i="9"/>
  <c r="DE34" i="9"/>
  <c r="DF34" i="9"/>
  <c r="DG34" i="9"/>
  <c r="DH34" i="9"/>
  <c r="DI34" i="9"/>
  <c r="DJ34" i="9"/>
  <c r="DK34" i="9"/>
  <c r="DL34" i="9"/>
  <c r="DN34" i="9"/>
  <c r="DO34" i="9"/>
  <c r="DP34" i="9"/>
  <c r="DQ34" i="9"/>
  <c r="DR34" i="9"/>
  <c r="DS34" i="9"/>
  <c r="DT34" i="9"/>
  <c r="DU34" i="9"/>
  <c r="DV34" i="9"/>
  <c r="DW34" i="9"/>
  <c r="DY34" i="9"/>
  <c r="DZ34" i="9"/>
  <c r="EA34" i="9"/>
  <c r="EB34" i="9"/>
  <c r="EC34" i="9"/>
  <c r="ED34" i="9"/>
  <c r="EE34" i="9"/>
  <c r="EF34" i="9"/>
  <c r="EG34" i="9"/>
  <c r="EH34" i="9"/>
  <c r="EI34" i="9"/>
  <c r="EJ34" i="9"/>
  <c r="EK34" i="9"/>
  <c r="EM34" i="9"/>
  <c r="EN34" i="9"/>
  <c r="EO34" i="9"/>
  <c r="EP34" i="9"/>
  <c r="EQ34" i="9"/>
  <c r="ER34" i="9"/>
  <c r="ES34" i="9"/>
  <c r="ET34" i="9"/>
  <c r="EU34" i="9"/>
  <c r="EV34" i="9"/>
  <c r="EY34" i="9"/>
  <c r="EZ34" i="9"/>
  <c r="FA34" i="9"/>
  <c r="FB34" i="9"/>
  <c r="FC34" i="9"/>
  <c r="FD34" i="9"/>
  <c r="FG34" i="9"/>
  <c r="FH34" i="9"/>
  <c r="FI34" i="9"/>
  <c r="FJ34" i="9"/>
  <c r="FK34" i="9"/>
  <c r="FL34" i="9"/>
  <c r="FM34" i="9"/>
  <c r="FN34" i="9"/>
  <c r="FO34" i="9"/>
  <c r="FP34" i="9"/>
  <c r="FQ34" i="9"/>
  <c r="FR34" i="9"/>
  <c r="FS34" i="9"/>
  <c r="FT34" i="9"/>
  <c r="FU34" i="9"/>
  <c r="FV34" i="9"/>
  <c r="FW34" i="9"/>
  <c r="FX34" i="9"/>
  <c r="FY34" i="9"/>
  <c r="FZ34" i="9"/>
  <c r="GA34" i="9"/>
  <c r="GB34" i="9"/>
  <c r="GC34" i="9"/>
  <c r="GD34" i="9"/>
  <c r="GE34" i="9"/>
  <c r="GF34" i="9"/>
  <c r="GG34" i="9"/>
  <c r="GH34" i="9"/>
  <c r="GI34" i="9"/>
  <c r="GJ34" i="9"/>
  <c r="GK34" i="9"/>
  <c r="GL34" i="9"/>
  <c r="GM34" i="9"/>
  <c r="GN34" i="9"/>
  <c r="GO34" i="9"/>
  <c r="GP34" i="9"/>
  <c r="GQ34" i="9"/>
  <c r="GR34" i="9"/>
  <c r="GS34" i="9"/>
  <c r="GT34" i="9"/>
  <c r="GU34" i="9"/>
  <c r="GV34" i="9"/>
  <c r="GW34" i="9"/>
  <c r="GX34" i="9"/>
  <c r="GY34" i="9"/>
  <c r="GZ34" i="9"/>
  <c r="HA34" i="9"/>
  <c r="HB34" i="9"/>
  <c r="HC34" i="9"/>
  <c r="HD34" i="9"/>
  <c r="HE34" i="9"/>
  <c r="HF34" i="9"/>
  <c r="HG34" i="9"/>
  <c r="HH34" i="9"/>
  <c r="HI34" i="9"/>
  <c r="HJ34" i="9"/>
  <c r="HK34" i="9"/>
  <c r="HL34" i="9"/>
  <c r="HM34" i="9"/>
  <c r="HN34" i="9"/>
  <c r="HO34" i="9"/>
  <c r="HP34" i="9"/>
  <c r="HQ34" i="9"/>
  <c r="HR34" i="9"/>
  <c r="HS34" i="9"/>
  <c r="HT34" i="9"/>
  <c r="HU34" i="9"/>
  <c r="HV34" i="9"/>
  <c r="HW34" i="9"/>
  <c r="HX34" i="9"/>
  <c r="HY34" i="9"/>
  <c r="HZ34" i="9"/>
  <c r="IA34" i="9"/>
  <c r="IB34" i="9"/>
  <c r="IC34" i="9"/>
  <c r="ID34" i="9"/>
  <c r="IE34" i="9"/>
  <c r="IF34" i="9"/>
  <c r="IG34" i="9"/>
  <c r="IH34" i="9"/>
  <c r="II34" i="9"/>
  <c r="IJ34" i="9"/>
  <c r="IK34" i="9"/>
  <c r="IL34" i="9"/>
  <c r="IM34" i="9"/>
  <c r="IN34" i="9"/>
  <c r="IO34" i="9"/>
  <c r="IP34" i="9"/>
  <c r="IQ34" i="9"/>
  <c r="IR34" i="9"/>
  <c r="IS34" i="9"/>
  <c r="IT34" i="9"/>
  <c r="IU34" i="9"/>
  <c r="IV34" i="9"/>
  <c r="A33" i="9"/>
  <c r="B33" i="9"/>
  <c r="C33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EE33" i="9"/>
  <c r="EF33" i="9"/>
  <c r="EG33" i="9"/>
  <c r="EH33" i="9"/>
  <c r="EI33" i="9"/>
  <c r="EJ33" i="9"/>
  <c r="EK33" i="9"/>
  <c r="EL33" i="9"/>
  <c r="EM33" i="9"/>
  <c r="EN33" i="9"/>
  <c r="EO33" i="9"/>
  <c r="EP33" i="9"/>
  <c r="EQ33" i="9"/>
  <c r="ER33" i="9"/>
  <c r="ES33" i="9"/>
  <c r="ET33" i="9"/>
  <c r="EU33" i="9"/>
  <c r="EV33" i="9"/>
  <c r="EW33" i="9"/>
  <c r="EX33" i="9"/>
  <c r="EY33" i="9"/>
  <c r="EZ33" i="9"/>
  <c r="FA33" i="9"/>
  <c r="FB33" i="9"/>
  <c r="FC33" i="9"/>
  <c r="FD33" i="9"/>
  <c r="FE33" i="9"/>
  <c r="FF33" i="9"/>
  <c r="FG33" i="9"/>
  <c r="FH33" i="9"/>
  <c r="FJ33" i="9"/>
  <c r="FK33" i="9"/>
  <c r="FL33" i="9"/>
  <c r="FM33" i="9"/>
  <c r="FN33" i="9"/>
  <c r="FO33" i="9"/>
  <c r="FP33" i="9"/>
  <c r="FQ33" i="9"/>
  <c r="FR33" i="9"/>
  <c r="FS33" i="9"/>
  <c r="FT33" i="9"/>
  <c r="FU33" i="9"/>
  <c r="FV33" i="9"/>
  <c r="FW33" i="9"/>
  <c r="FX33" i="9"/>
  <c r="FY33" i="9"/>
  <c r="FZ33" i="9"/>
  <c r="GA33" i="9"/>
  <c r="GB33" i="9"/>
  <c r="GC33" i="9"/>
  <c r="GD33" i="9"/>
  <c r="GE33" i="9"/>
  <c r="GF33" i="9"/>
  <c r="GG33" i="9"/>
  <c r="GH33" i="9"/>
  <c r="GI33" i="9"/>
  <c r="GJ33" i="9"/>
  <c r="GK33" i="9"/>
  <c r="GL33" i="9"/>
  <c r="GM33" i="9"/>
  <c r="GN33" i="9"/>
  <c r="GO33" i="9"/>
  <c r="GP33" i="9"/>
  <c r="GQ33" i="9"/>
  <c r="GR33" i="9"/>
  <c r="GS33" i="9"/>
  <c r="GT33" i="9"/>
  <c r="GU33" i="9"/>
  <c r="GV33" i="9"/>
  <c r="GW33" i="9"/>
  <c r="GX33" i="9"/>
  <c r="GY33" i="9"/>
  <c r="HA33" i="9"/>
  <c r="HB33" i="9"/>
  <c r="HC33" i="9"/>
  <c r="HD33" i="9"/>
  <c r="HE33" i="9"/>
  <c r="HF33" i="9"/>
  <c r="HG33" i="9"/>
  <c r="HH33" i="9"/>
  <c r="HI33" i="9"/>
  <c r="HJ33" i="9"/>
  <c r="HK33" i="9"/>
  <c r="HL33" i="9"/>
  <c r="HM33" i="9"/>
  <c r="HN33" i="9"/>
  <c r="HO33" i="9"/>
  <c r="HP33" i="9"/>
  <c r="HQ33" i="9"/>
  <c r="HR33" i="9"/>
  <c r="HS33" i="9"/>
  <c r="HT33" i="9"/>
  <c r="HU33" i="9"/>
  <c r="HW33" i="9"/>
  <c r="HX33" i="9"/>
  <c r="HY33" i="9"/>
  <c r="HZ33" i="9"/>
  <c r="IA33" i="9"/>
  <c r="IB33" i="9"/>
  <c r="IC33" i="9"/>
  <c r="ID33" i="9"/>
  <c r="IE33" i="9"/>
  <c r="IF33" i="9"/>
  <c r="IH33" i="9"/>
  <c r="II33" i="9"/>
  <c r="IJ33" i="9"/>
  <c r="IK33" i="9"/>
  <c r="IL33" i="9"/>
  <c r="IM33" i="9"/>
  <c r="IN33" i="9"/>
  <c r="IO33" i="9"/>
  <c r="IP33" i="9"/>
  <c r="IQ33" i="9"/>
  <c r="IT33" i="9"/>
  <c r="IU33" i="9"/>
  <c r="IV33" i="9"/>
  <c r="A32" i="9"/>
  <c r="B32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AV32" i="9"/>
  <c r="AW32" i="9"/>
  <c r="AX32" i="9"/>
  <c r="AY32" i="9"/>
  <c r="AZ32" i="9"/>
  <c r="BA32" i="9"/>
  <c r="BB32" i="9"/>
  <c r="BC32" i="9"/>
  <c r="BD32" i="9"/>
  <c r="BE32" i="9"/>
  <c r="BF32" i="9"/>
  <c r="BG32" i="9"/>
  <c r="BH32" i="9"/>
  <c r="BI32" i="9"/>
  <c r="BJ32" i="9"/>
  <c r="BK32" i="9"/>
  <c r="BL32" i="9"/>
  <c r="BM32" i="9"/>
  <c r="BN32" i="9"/>
  <c r="BO32" i="9"/>
  <c r="BP32" i="9"/>
  <c r="BQ32" i="9"/>
  <c r="BR32" i="9"/>
  <c r="BS32" i="9"/>
  <c r="BT32" i="9"/>
  <c r="BU32" i="9"/>
  <c r="BV32" i="9"/>
  <c r="BW32" i="9"/>
  <c r="BX32" i="9"/>
  <c r="BY32" i="9"/>
  <c r="BZ32" i="9"/>
  <c r="CA32" i="9"/>
  <c r="CB32" i="9"/>
  <c r="CC32" i="9"/>
  <c r="CD32" i="9"/>
  <c r="CE32" i="9"/>
  <c r="CF32" i="9"/>
  <c r="CG32" i="9"/>
  <c r="CH32" i="9"/>
  <c r="CI32" i="9"/>
  <c r="CJ32" i="9"/>
  <c r="CK32" i="9"/>
  <c r="CL32" i="9"/>
  <c r="CM32" i="9"/>
  <c r="CN32" i="9"/>
  <c r="CO32" i="9"/>
  <c r="CP32" i="9"/>
  <c r="CQ32" i="9"/>
  <c r="CR32" i="9"/>
  <c r="CS32" i="9"/>
  <c r="CT32" i="9"/>
  <c r="CU32" i="9"/>
  <c r="CV32" i="9"/>
  <c r="CW32" i="9"/>
  <c r="CX32" i="9"/>
  <c r="CY32" i="9"/>
  <c r="CZ32" i="9"/>
  <c r="DA32" i="9"/>
  <c r="DB32" i="9"/>
  <c r="DC32" i="9"/>
  <c r="DD32" i="9"/>
  <c r="DE32" i="9"/>
  <c r="DF32" i="9"/>
  <c r="DG32" i="9"/>
  <c r="DH32" i="9"/>
  <c r="DI32" i="9"/>
  <c r="DJ32" i="9"/>
  <c r="DK32" i="9"/>
  <c r="DL32" i="9"/>
  <c r="DM32" i="9"/>
  <c r="DN32" i="9"/>
  <c r="DO32" i="9"/>
  <c r="DP32" i="9"/>
  <c r="DQ32" i="9"/>
  <c r="DR32" i="9"/>
  <c r="DS32" i="9"/>
  <c r="DT32" i="9"/>
  <c r="DU32" i="9"/>
  <c r="DV32" i="9"/>
  <c r="DW32" i="9"/>
  <c r="DX32" i="9"/>
  <c r="DY32" i="9"/>
  <c r="DZ32" i="9"/>
  <c r="EA32" i="9"/>
  <c r="EB32" i="9"/>
  <c r="EC32" i="9"/>
  <c r="ED32" i="9"/>
  <c r="EE32" i="9"/>
  <c r="EF32" i="9"/>
  <c r="EG32" i="9"/>
  <c r="EH32" i="9"/>
  <c r="EI32" i="9"/>
  <c r="EJ32" i="9"/>
  <c r="EK32" i="9"/>
  <c r="EL32" i="9"/>
  <c r="EM32" i="9"/>
  <c r="EN32" i="9"/>
  <c r="EO32" i="9"/>
  <c r="EP32" i="9"/>
  <c r="EQ32" i="9"/>
  <c r="ER32" i="9"/>
  <c r="ES32" i="9"/>
  <c r="ET32" i="9"/>
  <c r="EU32" i="9"/>
  <c r="EV32" i="9"/>
  <c r="EW32" i="9"/>
  <c r="EX32" i="9"/>
  <c r="EY32" i="9"/>
  <c r="EZ32" i="9"/>
  <c r="FA32" i="9"/>
  <c r="FB32" i="9"/>
  <c r="FC32" i="9"/>
  <c r="FD32" i="9"/>
  <c r="FE32" i="9"/>
  <c r="FF32" i="9"/>
  <c r="FG32" i="9"/>
  <c r="FH32" i="9"/>
  <c r="FI32" i="9"/>
  <c r="FJ32" i="9"/>
  <c r="FK32" i="9"/>
  <c r="FL32" i="9"/>
  <c r="FM32" i="9"/>
  <c r="FN32" i="9"/>
  <c r="FO32" i="9"/>
  <c r="FP32" i="9"/>
  <c r="FQ32" i="9"/>
  <c r="FR32" i="9"/>
  <c r="FS32" i="9"/>
  <c r="FT32" i="9"/>
  <c r="FU32" i="9"/>
  <c r="FV32" i="9"/>
  <c r="FW32" i="9"/>
  <c r="FX32" i="9"/>
  <c r="FY32" i="9"/>
  <c r="FZ32" i="9"/>
  <c r="GA32" i="9"/>
  <c r="GB32" i="9"/>
  <c r="GC32" i="9"/>
  <c r="GD32" i="9"/>
  <c r="GE32" i="9"/>
  <c r="GF32" i="9"/>
  <c r="GG32" i="9"/>
  <c r="GH32" i="9"/>
  <c r="GI32" i="9"/>
  <c r="GJ32" i="9"/>
  <c r="GK32" i="9"/>
  <c r="GL32" i="9"/>
  <c r="GM32" i="9"/>
  <c r="GN32" i="9"/>
  <c r="GO32" i="9"/>
  <c r="GP32" i="9"/>
  <c r="GQ32" i="9"/>
  <c r="GR32" i="9"/>
  <c r="GS32" i="9"/>
  <c r="GT32" i="9"/>
  <c r="GU32" i="9"/>
  <c r="GV32" i="9"/>
  <c r="GW32" i="9"/>
  <c r="GX32" i="9"/>
  <c r="GY32" i="9"/>
  <c r="GZ32" i="9"/>
  <c r="HA32" i="9"/>
  <c r="HB32" i="9"/>
  <c r="HC32" i="9"/>
  <c r="HD32" i="9"/>
  <c r="HE32" i="9"/>
  <c r="HF32" i="9"/>
  <c r="HG32" i="9"/>
  <c r="HH32" i="9"/>
  <c r="HI32" i="9"/>
  <c r="HJ32" i="9"/>
  <c r="HK32" i="9"/>
  <c r="HL32" i="9"/>
  <c r="HM32" i="9"/>
  <c r="HN32" i="9"/>
  <c r="HO32" i="9"/>
  <c r="HP32" i="9"/>
  <c r="HQ32" i="9"/>
  <c r="HR32" i="9"/>
  <c r="HS32" i="9"/>
  <c r="HT32" i="9"/>
  <c r="HU32" i="9"/>
  <c r="HV32" i="9"/>
  <c r="HW32" i="9"/>
  <c r="HX32" i="9"/>
  <c r="HY32" i="9"/>
  <c r="HZ32" i="9"/>
  <c r="IA32" i="9"/>
  <c r="IB32" i="9"/>
  <c r="IC32" i="9"/>
  <c r="ID32" i="9"/>
  <c r="IE32" i="9"/>
  <c r="IF32" i="9"/>
  <c r="IG32" i="9"/>
  <c r="IH32" i="9"/>
  <c r="II32" i="9"/>
  <c r="IJ32" i="9"/>
  <c r="IK32" i="9"/>
  <c r="IL32" i="9"/>
  <c r="IM32" i="9"/>
  <c r="IN32" i="9"/>
  <c r="IO32" i="9"/>
  <c r="IP32" i="9"/>
  <c r="IQ32" i="9"/>
  <c r="IR32" i="9"/>
  <c r="IS32" i="9"/>
  <c r="IT32" i="9"/>
  <c r="IU32" i="9"/>
  <c r="IV32" i="9"/>
  <c r="A31" i="9"/>
  <c r="B31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AV31" i="9"/>
  <c r="AW31" i="9"/>
  <c r="AX31" i="9"/>
  <c r="AY31" i="9"/>
  <c r="AZ31" i="9"/>
  <c r="BA31" i="9"/>
  <c r="BB31" i="9"/>
  <c r="BC31" i="9"/>
  <c r="BD31" i="9"/>
  <c r="BE31" i="9"/>
  <c r="BF31" i="9"/>
  <c r="BG31" i="9"/>
  <c r="BH31" i="9"/>
  <c r="BI31" i="9"/>
  <c r="BJ31" i="9"/>
  <c r="BK31" i="9"/>
  <c r="BL31" i="9"/>
  <c r="BM31" i="9"/>
  <c r="BN31" i="9"/>
  <c r="BO31" i="9"/>
  <c r="BP31" i="9"/>
  <c r="BQ31" i="9"/>
  <c r="BR31" i="9"/>
  <c r="BS31" i="9"/>
  <c r="BT31" i="9"/>
  <c r="BU31" i="9"/>
  <c r="BV31" i="9"/>
  <c r="BW31" i="9"/>
  <c r="BX31" i="9"/>
  <c r="BY31" i="9"/>
  <c r="BZ31" i="9"/>
  <c r="CA31" i="9"/>
  <c r="CB31" i="9"/>
  <c r="CC31" i="9"/>
  <c r="CD31" i="9"/>
  <c r="CE31" i="9"/>
  <c r="CF31" i="9"/>
  <c r="CG31" i="9"/>
  <c r="CH31" i="9"/>
  <c r="CI31" i="9"/>
  <c r="CJ31" i="9"/>
  <c r="CK31" i="9"/>
  <c r="CL31" i="9"/>
  <c r="CM31" i="9"/>
  <c r="CN31" i="9"/>
  <c r="CO31" i="9"/>
  <c r="CP31" i="9"/>
  <c r="CQ31" i="9"/>
  <c r="CR31" i="9"/>
  <c r="CS31" i="9"/>
  <c r="CT31" i="9"/>
  <c r="CU31" i="9"/>
  <c r="CV31" i="9"/>
  <c r="CW31" i="9"/>
  <c r="CX31" i="9"/>
  <c r="CY31" i="9"/>
  <c r="CZ31" i="9"/>
  <c r="DA31" i="9"/>
  <c r="DB31" i="9"/>
  <c r="DC31" i="9"/>
  <c r="DD31" i="9"/>
  <c r="DE31" i="9"/>
  <c r="DF31" i="9"/>
  <c r="DG31" i="9"/>
  <c r="DH31" i="9"/>
  <c r="DI31" i="9"/>
  <c r="DJ31" i="9"/>
  <c r="DK31" i="9"/>
  <c r="DL31" i="9"/>
  <c r="DM31" i="9"/>
  <c r="DN31" i="9"/>
  <c r="DO31" i="9"/>
  <c r="DP31" i="9"/>
  <c r="DQ31" i="9"/>
  <c r="DR31" i="9"/>
  <c r="DS31" i="9"/>
  <c r="DT31" i="9"/>
  <c r="DU31" i="9"/>
  <c r="DV31" i="9"/>
  <c r="DW31" i="9"/>
  <c r="DX31" i="9"/>
  <c r="DY31" i="9"/>
  <c r="DZ31" i="9"/>
  <c r="EA31" i="9"/>
  <c r="EB31" i="9"/>
  <c r="EC31" i="9"/>
  <c r="ED31" i="9"/>
  <c r="EE31" i="9"/>
  <c r="EF31" i="9"/>
  <c r="EG31" i="9"/>
  <c r="EH31" i="9"/>
  <c r="EI31" i="9"/>
  <c r="EJ31" i="9"/>
  <c r="EK31" i="9"/>
  <c r="EL31" i="9"/>
  <c r="EM31" i="9"/>
  <c r="EN31" i="9"/>
  <c r="EO31" i="9"/>
  <c r="EP31" i="9"/>
  <c r="EQ31" i="9"/>
  <c r="ER31" i="9"/>
  <c r="ES31" i="9"/>
  <c r="ET31" i="9"/>
  <c r="EU31" i="9"/>
  <c r="EV31" i="9"/>
  <c r="EW31" i="9"/>
  <c r="EX31" i="9"/>
  <c r="EY31" i="9"/>
  <c r="EZ31" i="9"/>
  <c r="FA31" i="9"/>
  <c r="FB31" i="9"/>
  <c r="FC31" i="9"/>
  <c r="FD31" i="9"/>
  <c r="FE31" i="9"/>
  <c r="FF31" i="9"/>
  <c r="FG31" i="9"/>
  <c r="FH31" i="9"/>
  <c r="FI31" i="9"/>
  <c r="FJ31" i="9"/>
  <c r="FK31" i="9"/>
  <c r="FL31" i="9"/>
  <c r="FM31" i="9"/>
  <c r="FN31" i="9"/>
  <c r="FO31" i="9"/>
  <c r="FP31" i="9"/>
  <c r="FQ31" i="9"/>
  <c r="FR31" i="9"/>
  <c r="FS31" i="9"/>
  <c r="FT31" i="9"/>
  <c r="FU31" i="9"/>
  <c r="FV31" i="9"/>
  <c r="FW31" i="9"/>
  <c r="FX31" i="9"/>
  <c r="FY31" i="9"/>
  <c r="FZ31" i="9"/>
  <c r="GA31" i="9"/>
  <c r="GB31" i="9"/>
  <c r="GC31" i="9"/>
  <c r="GD31" i="9"/>
  <c r="GE31" i="9"/>
  <c r="GF31" i="9"/>
  <c r="GG31" i="9"/>
  <c r="GH31" i="9"/>
  <c r="GI31" i="9"/>
  <c r="GJ31" i="9"/>
  <c r="GK31" i="9"/>
  <c r="GL31" i="9"/>
  <c r="GM31" i="9"/>
  <c r="GN31" i="9"/>
  <c r="GO31" i="9"/>
  <c r="GP31" i="9"/>
  <c r="GQ31" i="9"/>
  <c r="GR31" i="9"/>
  <c r="GS31" i="9"/>
  <c r="GT31" i="9"/>
  <c r="GU31" i="9"/>
  <c r="GV31" i="9"/>
  <c r="GW31" i="9"/>
  <c r="GX31" i="9"/>
  <c r="GY31" i="9"/>
  <c r="GZ31" i="9"/>
  <c r="HA31" i="9"/>
  <c r="HB31" i="9"/>
  <c r="HC31" i="9"/>
  <c r="HD31" i="9"/>
  <c r="HE31" i="9"/>
  <c r="HF31" i="9"/>
  <c r="HG31" i="9"/>
  <c r="HH31" i="9"/>
  <c r="HI31" i="9"/>
  <c r="HJ31" i="9"/>
  <c r="HK31" i="9"/>
  <c r="HL31" i="9"/>
  <c r="HM31" i="9"/>
  <c r="HN31" i="9"/>
  <c r="HO31" i="9"/>
  <c r="HP31" i="9"/>
  <c r="HQ31" i="9"/>
  <c r="HR31" i="9"/>
  <c r="HS31" i="9"/>
  <c r="HT31" i="9"/>
  <c r="HU31" i="9"/>
  <c r="HV31" i="9"/>
  <c r="HW31" i="9"/>
  <c r="HX31" i="9"/>
  <c r="HY31" i="9"/>
  <c r="HZ31" i="9"/>
  <c r="IA31" i="9"/>
  <c r="IB31" i="9"/>
  <c r="IC31" i="9"/>
  <c r="ID31" i="9"/>
  <c r="IE31" i="9"/>
  <c r="IF31" i="9"/>
  <c r="IG31" i="9"/>
  <c r="IH31" i="9"/>
  <c r="II31" i="9"/>
  <c r="IJ31" i="9"/>
  <c r="IK31" i="9"/>
  <c r="IL31" i="9"/>
  <c r="IM31" i="9"/>
  <c r="IN31" i="9"/>
  <c r="IO31" i="9"/>
  <c r="IP31" i="9"/>
  <c r="IQ31" i="9"/>
  <c r="IR31" i="9"/>
  <c r="IS31" i="9"/>
  <c r="IT31" i="9"/>
  <c r="IU31" i="9"/>
  <c r="IV31" i="9"/>
  <c r="A30" i="9"/>
  <c r="B30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AT30" i="9"/>
  <c r="AU30" i="9"/>
  <c r="AV30" i="9"/>
  <c r="AW30" i="9"/>
  <c r="AX30" i="9"/>
  <c r="AY30" i="9"/>
  <c r="AZ30" i="9"/>
  <c r="BA30" i="9"/>
  <c r="BB30" i="9"/>
  <c r="BC30" i="9"/>
  <c r="BD30" i="9"/>
  <c r="BE30" i="9"/>
  <c r="BF30" i="9"/>
  <c r="BG30" i="9"/>
  <c r="BH30" i="9"/>
  <c r="BI30" i="9"/>
  <c r="BJ30" i="9"/>
  <c r="BK30" i="9"/>
  <c r="BL30" i="9"/>
  <c r="BM30" i="9"/>
  <c r="BN30" i="9"/>
  <c r="BO30" i="9"/>
  <c r="BP30" i="9"/>
  <c r="BQ30" i="9"/>
  <c r="BR30" i="9"/>
  <c r="BS30" i="9"/>
  <c r="BT30" i="9"/>
  <c r="BU30" i="9"/>
  <c r="BV30" i="9"/>
  <c r="BW30" i="9"/>
  <c r="BX30" i="9"/>
  <c r="BY30" i="9"/>
  <c r="BZ30" i="9"/>
  <c r="CA30" i="9"/>
  <c r="CB30" i="9"/>
  <c r="CC30" i="9"/>
  <c r="CD30" i="9"/>
  <c r="CE30" i="9"/>
  <c r="CF30" i="9"/>
  <c r="CG30" i="9"/>
  <c r="CH30" i="9"/>
  <c r="CI30" i="9"/>
  <c r="CJ30" i="9"/>
  <c r="CK30" i="9"/>
  <c r="CL30" i="9"/>
  <c r="CM30" i="9"/>
  <c r="CN30" i="9"/>
  <c r="CO30" i="9"/>
  <c r="CP30" i="9"/>
  <c r="CQ30" i="9"/>
  <c r="CR30" i="9"/>
  <c r="CS30" i="9"/>
  <c r="CT30" i="9"/>
  <c r="CU30" i="9"/>
  <c r="CV30" i="9"/>
  <c r="CW30" i="9"/>
  <c r="CX30" i="9"/>
  <c r="CY30" i="9"/>
  <c r="CZ30" i="9"/>
  <c r="DA30" i="9"/>
  <c r="DB30" i="9"/>
  <c r="DC30" i="9"/>
  <c r="DD30" i="9"/>
  <c r="DE30" i="9"/>
  <c r="DF30" i="9"/>
  <c r="DG30" i="9"/>
  <c r="DH30" i="9"/>
  <c r="DI30" i="9"/>
  <c r="DJ30" i="9"/>
  <c r="DK30" i="9"/>
  <c r="DL30" i="9"/>
  <c r="DM30" i="9"/>
  <c r="DN30" i="9"/>
  <c r="DO30" i="9"/>
  <c r="DP30" i="9"/>
  <c r="DQ30" i="9"/>
  <c r="DR30" i="9"/>
  <c r="DS30" i="9"/>
  <c r="DT30" i="9"/>
  <c r="DU30" i="9"/>
  <c r="DV30" i="9"/>
  <c r="DW30" i="9"/>
  <c r="DX30" i="9"/>
  <c r="DY30" i="9"/>
  <c r="DZ30" i="9"/>
  <c r="EA30" i="9"/>
  <c r="EB30" i="9"/>
  <c r="EC30" i="9"/>
  <c r="ED30" i="9"/>
  <c r="EE30" i="9"/>
  <c r="EF30" i="9"/>
  <c r="EG30" i="9"/>
  <c r="EH30" i="9"/>
  <c r="EI30" i="9"/>
  <c r="EJ30" i="9"/>
  <c r="EK30" i="9"/>
  <c r="EL30" i="9"/>
  <c r="EM30" i="9"/>
  <c r="EN30" i="9"/>
  <c r="EO30" i="9"/>
  <c r="EP30" i="9"/>
  <c r="EQ30" i="9"/>
  <c r="ER30" i="9"/>
  <c r="ES30" i="9"/>
  <c r="ET30" i="9"/>
  <c r="EU30" i="9"/>
  <c r="EV30" i="9"/>
  <c r="EW30" i="9"/>
  <c r="EX30" i="9"/>
  <c r="EY30" i="9"/>
  <c r="EZ30" i="9"/>
  <c r="FA30" i="9"/>
  <c r="FB30" i="9"/>
  <c r="FC30" i="9"/>
  <c r="FD30" i="9"/>
  <c r="FE30" i="9"/>
  <c r="FF30" i="9"/>
  <c r="FG30" i="9"/>
  <c r="FH30" i="9"/>
  <c r="FI30" i="9"/>
  <c r="FJ30" i="9"/>
  <c r="FK30" i="9"/>
  <c r="FL30" i="9"/>
  <c r="FM30" i="9"/>
  <c r="FN30" i="9"/>
  <c r="FO30" i="9"/>
  <c r="FP30" i="9"/>
  <c r="FQ30" i="9"/>
  <c r="FR30" i="9"/>
  <c r="FS30" i="9"/>
  <c r="FT30" i="9"/>
  <c r="FU30" i="9"/>
  <c r="FV30" i="9"/>
  <c r="FW30" i="9"/>
  <c r="FX30" i="9"/>
  <c r="FY30" i="9"/>
  <c r="FZ30" i="9"/>
  <c r="GA30" i="9"/>
  <c r="GB30" i="9"/>
  <c r="GC30" i="9"/>
  <c r="GD30" i="9"/>
  <c r="GE30" i="9"/>
  <c r="GF30" i="9"/>
  <c r="GG30" i="9"/>
  <c r="GH30" i="9"/>
  <c r="GI30" i="9"/>
  <c r="GJ30" i="9"/>
  <c r="GK30" i="9"/>
  <c r="GL30" i="9"/>
  <c r="GM30" i="9"/>
  <c r="GN30" i="9"/>
  <c r="GO30" i="9"/>
  <c r="GP30" i="9"/>
  <c r="GQ30" i="9"/>
  <c r="GR30" i="9"/>
  <c r="GS30" i="9"/>
  <c r="GT30" i="9"/>
  <c r="GU30" i="9"/>
  <c r="GV30" i="9"/>
  <c r="GW30" i="9"/>
  <c r="GX30" i="9"/>
  <c r="GY30" i="9"/>
  <c r="GZ30" i="9"/>
  <c r="HA30" i="9"/>
  <c r="HB30" i="9"/>
  <c r="HC30" i="9"/>
  <c r="HD30" i="9"/>
  <c r="HE30" i="9"/>
  <c r="HF30" i="9"/>
  <c r="HG30" i="9"/>
  <c r="HH30" i="9"/>
  <c r="HI30" i="9"/>
  <c r="HJ30" i="9"/>
  <c r="HK30" i="9"/>
  <c r="HL30" i="9"/>
  <c r="HM30" i="9"/>
  <c r="HN30" i="9"/>
  <c r="HO30" i="9"/>
  <c r="HP30" i="9"/>
  <c r="HQ30" i="9"/>
  <c r="HR30" i="9"/>
  <c r="HS30" i="9"/>
  <c r="HT30" i="9"/>
  <c r="HU30" i="9"/>
  <c r="HV30" i="9"/>
  <c r="HW30" i="9"/>
  <c r="HX30" i="9"/>
  <c r="HY30" i="9"/>
  <c r="HZ30" i="9"/>
  <c r="IA30" i="9"/>
  <c r="IB30" i="9"/>
  <c r="IC30" i="9"/>
  <c r="ID30" i="9"/>
  <c r="IE30" i="9"/>
  <c r="IF30" i="9"/>
  <c r="IG30" i="9"/>
  <c r="IH30" i="9"/>
  <c r="II30" i="9"/>
  <c r="IJ30" i="9"/>
  <c r="IK30" i="9"/>
  <c r="IL30" i="9"/>
  <c r="IM30" i="9"/>
  <c r="IN30" i="9"/>
  <c r="IO30" i="9"/>
  <c r="IP30" i="9"/>
  <c r="IQ30" i="9"/>
  <c r="IR30" i="9"/>
  <c r="IS30" i="9"/>
  <c r="IT30" i="9"/>
  <c r="IU30" i="9"/>
  <c r="IV30" i="9"/>
  <c r="A29" i="9"/>
  <c r="B29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L29" i="9"/>
  <c r="AN29" i="9"/>
  <c r="AO29" i="9"/>
  <c r="AP29" i="9"/>
  <c r="AQ29" i="9"/>
  <c r="AR29" i="9"/>
  <c r="AS29" i="9"/>
  <c r="AT29" i="9"/>
  <c r="AU29" i="9"/>
  <c r="AV29" i="9"/>
  <c r="AW29" i="9"/>
  <c r="AX29" i="9"/>
  <c r="AY29" i="9"/>
  <c r="AZ29" i="9"/>
  <c r="BA29" i="9"/>
  <c r="BB29" i="9"/>
  <c r="BC29" i="9"/>
  <c r="BD29" i="9"/>
  <c r="BE29" i="9"/>
  <c r="BF29" i="9"/>
  <c r="BG29" i="9"/>
  <c r="BH29" i="9"/>
  <c r="BI29" i="9"/>
  <c r="BJ29" i="9"/>
  <c r="BK29" i="9"/>
  <c r="BL29" i="9"/>
  <c r="BM29" i="9"/>
  <c r="BN29" i="9"/>
  <c r="BO29" i="9"/>
  <c r="BP29" i="9"/>
  <c r="BQ29" i="9"/>
  <c r="BR29" i="9"/>
  <c r="BS29" i="9"/>
  <c r="BT29" i="9"/>
  <c r="BU29" i="9"/>
  <c r="BV29" i="9"/>
  <c r="BW29" i="9"/>
  <c r="BX29" i="9"/>
  <c r="BY29" i="9"/>
  <c r="BZ29" i="9"/>
  <c r="CA29" i="9"/>
  <c r="CB29" i="9"/>
  <c r="CC29" i="9"/>
  <c r="CD29" i="9"/>
  <c r="CE29" i="9"/>
  <c r="CF29" i="9"/>
  <c r="CG29" i="9"/>
  <c r="CH29" i="9"/>
  <c r="CI29" i="9"/>
  <c r="CJ29" i="9"/>
  <c r="CK29" i="9"/>
  <c r="CL29" i="9"/>
  <c r="CM29" i="9"/>
  <c r="CN29" i="9"/>
  <c r="CO29" i="9"/>
  <c r="CP29" i="9"/>
  <c r="CQ29" i="9"/>
  <c r="CR29" i="9"/>
  <c r="CS29" i="9"/>
  <c r="CT29" i="9"/>
  <c r="CU29" i="9"/>
  <c r="CV29" i="9"/>
  <c r="CW29" i="9"/>
  <c r="CX29" i="9"/>
  <c r="CY29" i="9"/>
  <c r="CZ29" i="9"/>
  <c r="DA29" i="9"/>
  <c r="DB29" i="9"/>
  <c r="DC29" i="9"/>
  <c r="DD29" i="9"/>
  <c r="DE29" i="9"/>
  <c r="DF29" i="9"/>
  <c r="DG29" i="9"/>
  <c r="DH29" i="9"/>
  <c r="DI29" i="9"/>
  <c r="DJ29" i="9"/>
  <c r="DK29" i="9"/>
  <c r="DL29" i="9"/>
  <c r="DM29" i="9"/>
  <c r="DN29" i="9"/>
  <c r="DO29" i="9"/>
  <c r="DP29" i="9"/>
  <c r="DQ29" i="9"/>
  <c r="DR29" i="9"/>
  <c r="DS29" i="9"/>
  <c r="DT29" i="9"/>
  <c r="DU29" i="9"/>
  <c r="DV29" i="9"/>
  <c r="DW29" i="9"/>
  <c r="DX29" i="9"/>
  <c r="DY29" i="9"/>
  <c r="DZ29" i="9"/>
  <c r="EA29" i="9"/>
  <c r="EB29" i="9"/>
  <c r="EC29" i="9"/>
  <c r="ED29" i="9"/>
  <c r="EE29" i="9"/>
  <c r="EF29" i="9"/>
  <c r="EG29" i="9"/>
  <c r="EH29" i="9"/>
  <c r="EI29" i="9"/>
  <c r="EJ29" i="9"/>
  <c r="EK29" i="9"/>
  <c r="EL29" i="9"/>
  <c r="EM29" i="9"/>
  <c r="EN29" i="9"/>
  <c r="EO29" i="9"/>
  <c r="EP29" i="9"/>
  <c r="EQ29" i="9"/>
  <c r="ER29" i="9"/>
  <c r="ES29" i="9"/>
  <c r="ET29" i="9"/>
  <c r="EU29" i="9"/>
  <c r="EV29" i="9"/>
  <c r="EW29" i="9"/>
  <c r="EX29" i="9"/>
  <c r="EY29" i="9"/>
  <c r="EZ29" i="9"/>
  <c r="FA29" i="9"/>
  <c r="FB29" i="9"/>
  <c r="FC29" i="9"/>
  <c r="FD29" i="9"/>
  <c r="FE29" i="9"/>
  <c r="FF29" i="9"/>
  <c r="FG29" i="9"/>
  <c r="FH29" i="9"/>
  <c r="FI29" i="9"/>
  <c r="FJ29" i="9"/>
  <c r="FK29" i="9"/>
  <c r="FL29" i="9"/>
  <c r="FM29" i="9"/>
  <c r="FN29" i="9"/>
  <c r="FO29" i="9"/>
  <c r="FP29" i="9"/>
  <c r="FQ29" i="9"/>
  <c r="FR29" i="9"/>
  <c r="FS29" i="9"/>
  <c r="FT29" i="9"/>
  <c r="FU29" i="9"/>
  <c r="FV29" i="9"/>
  <c r="FW29" i="9"/>
  <c r="FX29" i="9"/>
  <c r="FY29" i="9"/>
  <c r="FZ29" i="9"/>
  <c r="GA29" i="9"/>
  <c r="GB29" i="9"/>
  <c r="GC29" i="9"/>
  <c r="GD29" i="9"/>
  <c r="GE29" i="9"/>
  <c r="GF29" i="9"/>
  <c r="GG29" i="9"/>
  <c r="GH29" i="9"/>
  <c r="GI29" i="9"/>
  <c r="GJ29" i="9"/>
  <c r="GK29" i="9"/>
  <c r="GL29" i="9"/>
  <c r="GM29" i="9"/>
  <c r="GN29" i="9"/>
  <c r="GO29" i="9"/>
  <c r="GP29" i="9"/>
  <c r="GQ29" i="9"/>
  <c r="GR29" i="9"/>
  <c r="GS29" i="9"/>
  <c r="GT29" i="9"/>
  <c r="GU29" i="9"/>
  <c r="GV29" i="9"/>
  <c r="GW29" i="9"/>
  <c r="GX29" i="9"/>
  <c r="GY29" i="9"/>
  <c r="GZ29" i="9"/>
  <c r="HA29" i="9"/>
  <c r="HB29" i="9"/>
  <c r="HC29" i="9"/>
  <c r="HD29" i="9"/>
  <c r="HE29" i="9"/>
  <c r="HF29" i="9"/>
  <c r="HG29" i="9"/>
  <c r="HH29" i="9"/>
  <c r="HI29" i="9"/>
  <c r="HJ29" i="9"/>
  <c r="HK29" i="9"/>
  <c r="HL29" i="9"/>
  <c r="HM29" i="9"/>
  <c r="HN29" i="9"/>
  <c r="HO29" i="9"/>
  <c r="HP29" i="9"/>
  <c r="HQ29" i="9"/>
  <c r="HR29" i="9"/>
  <c r="HS29" i="9"/>
  <c r="HT29" i="9"/>
  <c r="HU29" i="9"/>
  <c r="HV29" i="9"/>
  <c r="HW29" i="9"/>
  <c r="HX29" i="9"/>
  <c r="HY29" i="9"/>
  <c r="HZ29" i="9"/>
  <c r="IA29" i="9"/>
  <c r="IB29" i="9"/>
  <c r="IC29" i="9"/>
  <c r="ID29" i="9"/>
  <c r="IE29" i="9"/>
  <c r="IF29" i="9"/>
  <c r="IG29" i="9"/>
  <c r="IH29" i="9"/>
  <c r="II29" i="9"/>
  <c r="IJ29" i="9"/>
  <c r="IK29" i="9"/>
  <c r="IL29" i="9"/>
  <c r="IM29" i="9"/>
  <c r="IN29" i="9"/>
  <c r="IO29" i="9"/>
  <c r="IP29" i="9"/>
  <c r="IQ29" i="9"/>
  <c r="IR29" i="9"/>
  <c r="IS29" i="9"/>
  <c r="IT29" i="9"/>
  <c r="IU29" i="9"/>
  <c r="IV29" i="9"/>
  <c r="A28" i="9"/>
  <c r="B28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AT28" i="9"/>
  <c r="AU28" i="9"/>
  <c r="AV28" i="9"/>
  <c r="AW28" i="9"/>
  <c r="AX28" i="9"/>
  <c r="AY28" i="9"/>
  <c r="AZ28" i="9"/>
  <c r="BA28" i="9"/>
  <c r="BB28" i="9"/>
  <c r="BC28" i="9"/>
  <c r="BD28" i="9"/>
  <c r="BE28" i="9"/>
  <c r="BF28" i="9"/>
  <c r="BG28" i="9"/>
  <c r="BH28" i="9"/>
  <c r="BI28" i="9"/>
  <c r="BJ28" i="9"/>
  <c r="BK28" i="9"/>
  <c r="BL28" i="9"/>
  <c r="BM28" i="9"/>
  <c r="BN28" i="9"/>
  <c r="BO28" i="9"/>
  <c r="BP28" i="9"/>
  <c r="BQ28" i="9"/>
  <c r="BR28" i="9"/>
  <c r="BS28" i="9"/>
  <c r="BT28" i="9"/>
  <c r="BV28" i="9"/>
  <c r="BW28" i="9"/>
  <c r="BX28" i="9"/>
  <c r="BY28" i="9"/>
  <c r="BZ28" i="9"/>
  <c r="CA28" i="9"/>
  <c r="CB28" i="9"/>
  <c r="CC28" i="9"/>
  <c r="CD28" i="9"/>
  <c r="CE28" i="9"/>
  <c r="CF28" i="9"/>
  <c r="CG28" i="9"/>
  <c r="CH28" i="9"/>
  <c r="CI28" i="9"/>
  <c r="CJ28" i="9"/>
  <c r="CK28" i="9"/>
  <c r="CL28" i="9"/>
  <c r="CM28" i="9"/>
  <c r="CN28" i="9"/>
  <c r="CP28" i="9"/>
  <c r="CQ28" i="9"/>
  <c r="CR28" i="9"/>
  <c r="CS28" i="9"/>
  <c r="CT28" i="9"/>
  <c r="CU28" i="9"/>
  <c r="CV28" i="9"/>
  <c r="CW28" i="9"/>
  <c r="CX28" i="9"/>
  <c r="CY28" i="9"/>
  <c r="CZ28" i="9"/>
  <c r="DA28" i="9"/>
  <c r="DB28" i="9"/>
  <c r="DC28" i="9"/>
  <c r="DD28" i="9"/>
  <c r="DE28" i="9"/>
  <c r="DF28" i="9"/>
  <c r="DG28" i="9"/>
  <c r="DH28" i="9"/>
  <c r="DJ28" i="9"/>
  <c r="DK28" i="9"/>
  <c r="DL28" i="9"/>
  <c r="DM28" i="9"/>
  <c r="DN28" i="9"/>
  <c r="DO28" i="9"/>
  <c r="DP28" i="9"/>
  <c r="DQ28" i="9"/>
  <c r="DR28" i="9"/>
  <c r="DS28" i="9"/>
  <c r="DT28" i="9"/>
  <c r="DU28" i="9"/>
  <c r="DV28" i="9"/>
  <c r="DW28" i="9"/>
  <c r="DX28" i="9"/>
  <c r="DY28" i="9"/>
  <c r="DZ28" i="9"/>
  <c r="EA28" i="9"/>
  <c r="EB28" i="9"/>
  <c r="EC28" i="9"/>
  <c r="ED28" i="9"/>
  <c r="EE28" i="9"/>
  <c r="EF28" i="9"/>
  <c r="EG28" i="9"/>
  <c r="EH28" i="9"/>
  <c r="EI28" i="9"/>
  <c r="EJ28" i="9"/>
  <c r="EK28" i="9"/>
  <c r="EL28" i="9"/>
  <c r="EM28" i="9"/>
  <c r="EN28" i="9"/>
  <c r="EO28" i="9"/>
  <c r="EP28" i="9"/>
  <c r="EQ28" i="9"/>
  <c r="ER28" i="9"/>
  <c r="ES28" i="9"/>
  <c r="ET28" i="9"/>
  <c r="EU28" i="9"/>
  <c r="EV28" i="9"/>
  <c r="EW28" i="9"/>
  <c r="EX28" i="9"/>
  <c r="EY28" i="9"/>
  <c r="EZ28" i="9"/>
  <c r="FA28" i="9"/>
  <c r="FB28" i="9"/>
  <c r="FC28" i="9"/>
  <c r="FD28" i="9"/>
  <c r="FE28" i="9"/>
  <c r="FF28" i="9"/>
  <c r="FG28" i="9"/>
  <c r="FH28" i="9"/>
  <c r="FI28" i="9"/>
  <c r="FJ28" i="9"/>
  <c r="FK28" i="9"/>
  <c r="FL28" i="9"/>
  <c r="FM28" i="9"/>
  <c r="FN28" i="9"/>
  <c r="FO28" i="9"/>
  <c r="FP28" i="9"/>
  <c r="FR28" i="9"/>
  <c r="FS28" i="9"/>
  <c r="FT28" i="9"/>
  <c r="FU28" i="9"/>
  <c r="FV28" i="9"/>
  <c r="FW28" i="9"/>
  <c r="FX28" i="9"/>
  <c r="FY28" i="9"/>
  <c r="FZ28" i="9"/>
  <c r="GA28" i="9"/>
  <c r="GB28" i="9"/>
  <c r="GC28" i="9"/>
  <c r="GD28" i="9"/>
  <c r="GE28" i="9"/>
  <c r="GF28" i="9"/>
  <c r="GG28" i="9"/>
  <c r="GH28" i="9"/>
  <c r="GI28" i="9"/>
  <c r="GJ28" i="9"/>
  <c r="GK28" i="9"/>
  <c r="GL28" i="9"/>
  <c r="GM28" i="9"/>
  <c r="GN28" i="9"/>
  <c r="GO28" i="9"/>
  <c r="GP28" i="9"/>
  <c r="GQ28" i="9"/>
  <c r="GR28" i="9"/>
  <c r="GS28" i="9"/>
  <c r="GT28" i="9"/>
  <c r="GU28" i="9"/>
  <c r="GV28" i="9"/>
  <c r="GW28" i="9"/>
  <c r="GX28" i="9"/>
  <c r="GY28" i="9"/>
  <c r="GZ28" i="9"/>
  <c r="HA28" i="9"/>
  <c r="HB28" i="9"/>
  <c r="HC28" i="9"/>
  <c r="HD28" i="9"/>
  <c r="HE28" i="9"/>
  <c r="HF28" i="9"/>
  <c r="HG28" i="9"/>
  <c r="HH28" i="9"/>
  <c r="HI28" i="9"/>
  <c r="HJ28" i="9"/>
  <c r="HK28" i="9"/>
  <c r="HL28" i="9"/>
  <c r="HM28" i="9"/>
  <c r="HN28" i="9"/>
  <c r="HO28" i="9"/>
  <c r="HP28" i="9"/>
  <c r="HQ28" i="9"/>
  <c r="HR28" i="9"/>
  <c r="HS28" i="9"/>
  <c r="HT28" i="9"/>
  <c r="HU28" i="9"/>
  <c r="HV28" i="9"/>
  <c r="HW28" i="9"/>
  <c r="HX28" i="9"/>
  <c r="HY28" i="9"/>
  <c r="HZ28" i="9"/>
  <c r="IA28" i="9"/>
  <c r="IB28" i="9"/>
  <c r="IC28" i="9"/>
  <c r="ID28" i="9"/>
  <c r="IE28" i="9"/>
  <c r="IF28" i="9"/>
  <c r="IG28" i="9"/>
  <c r="IH28" i="9"/>
  <c r="II28" i="9"/>
  <c r="IJ28" i="9"/>
  <c r="IK28" i="9"/>
  <c r="IL28" i="9"/>
  <c r="IM28" i="9"/>
  <c r="IN28" i="9"/>
  <c r="IO28" i="9"/>
  <c r="IP28" i="9"/>
  <c r="IQ28" i="9"/>
  <c r="IR28" i="9"/>
  <c r="IS28" i="9"/>
  <c r="IT28" i="9"/>
  <c r="IU28" i="9"/>
  <c r="IV28" i="9"/>
  <c r="BH62" i="9"/>
  <c r="AK29" i="9"/>
  <c r="A26" i="9"/>
  <c r="B26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AV26" i="9"/>
  <c r="AW26" i="9"/>
  <c r="AX26" i="9"/>
  <c r="AY26" i="9"/>
  <c r="AZ26" i="9"/>
  <c r="BA26" i="9"/>
  <c r="BB26" i="9"/>
  <c r="BC26" i="9"/>
  <c r="BD26" i="9"/>
  <c r="BE26" i="9"/>
  <c r="BF26" i="9"/>
  <c r="BG26" i="9"/>
  <c r="BH26" i="9"/>
  <c r="BI26" i="9"/>
  <c r="BJ26" i="9"/>
  <c r="BK26" i="9"/>
  <c r="BL26" i="9"/>
  <c r="BM26" i="9"/>
  <c r="BN26" i="9"/>
  <c r="BO26" i="9"/>
  <c r="BP26" i="9"/>
  <c r="BQ26" i="9"/>
  <c r="BR26" i="9"/>
  <c r="BS26" i="9"/>
  <c r="BT26" i="9"/>
  <c r="BU26" i="9"/>
  <c r="BV26" i="9"/>
  <c r="BW26" i="9"/>
  <c r="BX26" i="9"/>
  <c r="BY26" i="9"/>
  <c r="BZ26" i="9"/>
  <c r="CA26" i="9"/>
  <c r="CB26" i="9"/>
  <c r="CC26" i="9"/>
  <c r="CD26" i="9"/>
  <c r="CE26" i="9"/>
  <c r="CF26" i="9"/>
  <c r="CG26" i="9"/>
  <c r="CH26" i="9"/>
  <c r="CI26" i="9"/>
  <c r="CJ26" i="9"/>
  <c r="CK26" i="9"/>
  <c r="CL26" i="9"/>
  <c r="CM26" i="9"/>
  <c r="CN26" i="9"/>
  <c r="CO26" i="9"/>
  <c r="CP26" i="9"/>
  <c r="CQ26" i="9"/>
  <c r="CR26" i="9"/>
  <c r="CS26" i="9"/>
  <c r="CT26" i="9"/>
  <c r="CU26" i="9"/>
  <c r="CV26" i="9"/>
  <c r="CW26" i="9"/>
  <c r="CX26" i="9"/>
  <c r="CY26" i="9"/>
  <c r="CZ26" i="9"/>
  <c r="DA26" i="9"/>
  <c r="DB26" i="9"/>
  <c r="DC26" i="9"/>
  <c r="DD26" i="9"/>
  <c r="DE26" i="9"/>
  <c r="DF26" i="9"/>
  <c r="DG26" i="9"/>
  <c r="DH26" i="9"/>
  <c r="DI26" i="9"/>
  <c r="DJ26" i="9"/>
  <c r="DK26" i="9"/>
  <c r="DL26" i="9"/>
  <c r="DM26" i="9"/>
  <c r="DN26" i="9"/>
  <c r="DO26" i="9"/>
  <c r="DP26" i="9"/>
  <c r="DQ26" i="9"/>
  <c r="DR26" i="9"/>
  <c r="DS26" i="9"/>
  <c r="DT26" i="9"/>
  <c r="DU26" i="9"/>
  <c r="DV26" i="9"/>
  <c r="DW26" i="9"/>
  <c r="DX26" i="9"/>
  <c r="DY26" i="9"/>
  <c r="DZ26" i="9"/>
  <c r="EA26" i="9"/>
  <c r="EB26" i="9"/>
  <c r="EC26" i="9"/>
  <c r="ED26" i="9"/>
  <c r="EE26" i="9"/>
  <c r="EF26" i="9"/>
  <c r="EG26" i="9"/>
  <c r="EH26" i="9"/>
  <c r="EI26" i="9"/>
  <c r="EJ26" i="9"/>
  <c r="EK26" i="9"/>
  <c r="EL26" i="9"/>
  <c r="EM26" i="9"/>
  <c r="EN26" i="9"/>
  <c r="EO26" i="9"/>
  <c r="EP26" i="9"/>
  <c r="EQ26" i="9"/>
  <c r="ER26" i="9"/>
  <c r="ES26" i="9"/>
  <c r="ET26" i="9"/>
  <c r="EU26" i="9"/>
  <c r="EV26" i="9"/>
  <c r="EW26" i="9"/>
  <c r="EX26" i="9"/>
  <c r="EY26" i="9"/>
  <c r="EZ26" i="9"/>
  <c r="FA26" i="9"/>
  <c r="FB26" i="9"/>
  <c r="FC26" i="9"/>
  <c r="FD26" i="9"/>
  <c r="FE26" i="9"/>
  <c r="FF26" i="9"/>
  <c r="FG26" i="9"/>
  <c r="FH26" i="9"/>
  <c r="FI26" i="9"/>
  <c r="FJ26" i="9"/>
  <c r="FK26" i="9"/>
  <c r="FL26" i="9"/>
  <c r="FM26" i="9"/>
  <c r="FN26" i="9"/>
  <c r="FO26" i="9"/>
  <c r="FP26" i="9"/>
  <c r="FQ26" i="9"/>
  <c r="FR26" i="9"/>
  <c r="FS26" i="9"/>
  <c r="FT26" i="9"/>
  <c r="FU26" i="9"/>
  <c r="FV26" i="9"/>
  <c r="FW26" i="9"/>
  <c r="FX26" i="9"/>
  <c r="FY26" i="9"/>
  <c r="FZ26" i="9"/>
  <c r="GA26" i="9"/>
  <c r="GB26" i="9"/>
  <c r="GC26" i="9"/>
  <c r="GD26" i="9"/>
  <c r="GE26" i="9"/>
  <c r="GF26" i="9"/>
  <c r="GG26" i="9"/>
  <c r="GH26" i="9"/>
  <c r="GI26" i="9"/>
  <c r="GJ26" i="9"/>
  <c r="GK26" i="9"/>
  <c r="GL26" i="9"/>
  <c r="GM26" i="9"/>
  <c r="GN26" i="9"/>
  <c r="GO26" i="9"/>
  <c r="GP26" i="9"/>
  <c r="GQ26" i="9"/>
  <c r="GR26" i="9"/>
  <c r="GS26" i="9"/>
  <c r="GT26" i="9"/>
  <c r="GU26" i="9"/>
  <c r="GV26" i="9"/>
  <c r="GW26" i="9"/>
  <c r="GX26" i="9"/>
  <c r="GY26" i="9"/>
  <c r="GZ26" i="9"/>
  <c r="HA26" i="9"/>
  <c r="HB26" i="9"/>
  <c r="HC26" i="9"/>
  <c r="HD26" i="9"/>
  <c r="HE26" i="9"/>
  <c r="HF26" i="9"/>
  <c r="HG26" i="9"/>
  <c r="HH26" i="9"/>
  <c r="HI26" i="9"/>
  <c r="HJ26" i="9"/>
  <c r="HK26" i="9"/>
  <c r="HL26" i="9"/>
  <c r="HM26" i="9"/>
  <c r="HN26" i="9"/>
  <c r="HO26" i="9"/>
  <c r="HP26" i="9"/>
  <c r="A25" i="9"/>
  <c r="B25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A22" i="9"/>
  <c r="B22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AV22" i="9"/>
  <c r="AW22" i="9"/>
  <c r="AX22" i="9"/>
  <c r="AY22" i="9"/>
  <c r="AZ22" i="9"/>
  <c r="BA22" i="9"/>
  <c r="BB22" i="9"/>
  <c r="BC22" i="9"/>
  <c r="BD22" i="9"/>
  <c r="BE22" i="9"/>
  <c r="BF22" i="9"/>
  <c r="BG22" i="9"/>
  <c r="BH22" i="9"/>
  <c r="BI22" i="9"/>
  <c r="BJ22" i="9"/>
  <c r="BK22" i="9"/>
  <c r="BL22" i="9"/>
  <c r="BM22" i="9"/>
  <c r="BN22" i="9"/>
  <c r="BO22" i="9"/>
  <c r="BP22" i="9"/>
  <c r="BQ22" i="9"/>
  <c r="BR22" i="9"/>
  <c r="BS22" i="9"/>
  <c r="BT22" i="9"/>
  <c r="BU22" i="9"/>
  <c r="A20" i="9"/>
  <c r="B20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AT20" i="9"/>
  <c r="AU20" i="9"/>
  <c r="AV20" i="9"/>
  <c r="AW20" i="9"/>
  <c r="A19" i="9"/>
  <c r="B19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W19" i="9"/>
  <c r="AX19" i="9"/>
  <c r="AY19" i="9"/>
  <c r="AZ19" i="9"/>
  <c r="BA19" i="9"/>
  <c r="BB19" i="9"/>
  <c r="BC19" i="9"/>
  <c r="BD19" i="9"/>
  <c r="BE19" i="9"/>
  <c r="BF19" i="9"/>
  <c r="BG19" i="9"/>
  <c r="BH19" i="9"/>
  <c r="BI19" i="9"/>
  <c r="BJ19" i="9"/>
  <c r="BK19" i="9"/>
  <c r="BL19" i="9"/>
  <c r="BM19" i="9"/>
  <c r="BN19" i="9"/>
  <c r="BO19" i="9"/>
  <c r="BP19" i="9"/>
  <c r="BQ19" i="9"/>
  <c r="BR19" i="9"/>
  <c r="BS19" i="9"/>
  <c r="BT19" i="9"/>
  <c r="BU19" i="9"/>
  <c r="BV19" i="9"/>
  <c r="BW19" i="9"/>
  <c r="BX19" i="9"/>
  <c r="BY19" i="9"/>
  <c r="BZ19" i="9"/>
  <c r="CA19" i="9"/>
  <c r="CB19" i="9"/>
  <c r="CC19" i="9"/>
  <c r="CD19" i="9"/>
  <c r="CE19" i="9"/>
  <c r="CF19" i="9"/>
  <c r="CG19" i="9"/>
  <c r="CH19" i="9"/>
  <c r="CI19" i="9"/>
  <c r="CJ19" i="9"/>
  <c r="CK19" i="9"/>
  <c r="CL19" i="9"/>
  <c r="CM19" i="9"/>
  <c r="CN19" i="9"/>
  <c r="CO19" i="9"/>
  <c r="CP19" i="9"/>
  <c r="CQ19" i="9"/>
  <c r="CR19" i="9"/>
  <c r="CS19" i="9"/>
  <c r="CT19" i="9"/>
  <c r="CU19" i="9"/>
  <c r="CV19" i="9"/>
  <c r="CW19" i="9"/>
  <c r="CX19" i="9"/>
  <c r="CY19" i="9"/>
  <c r="CZ19" i="9"/>
  <c r="DA19" i="9"/>
  <c r="DB19" i="9"/>
  <c r="DC19" i="9"/>
  <c r="DD19" i="9"/>
  <c r="DE19" i="9"/>
  <c r="DF19" i="9"/>
  <c r="DG19" i="9"/>
  <c r="DH19" i="9"/>
  <c r="DI19" i="9"/>
  <c r="DJ19" i="9"/>
  <c r="DK19" i="9"/>
  <c r="DL19" i="9"/>
  <c r="DM19" i="9"/>
  <c r="DN19" i="9"/>
  <c r="DO19" i="9"/>
  <c r="DP19" i="9"/>
  <c r="DQ19" i="9"/>
  <c r="DR19" i="9"/>
  <c r="DS19" i="9"/>
  <c r="DT19" i="9"/>
  <c r="DU19" i="9"/>
  <c r="DV19" i="9"/>
  <c r="DW19" i="9"/>
  <c r="DX19" i="9"/>
  <c r="DY19" i="9"/>
  <c r="DZ19" i="9"/>
  <c r="EA19" i="9"/>
  <c r="EB19" i="9"/>
  <c r="EC19" i="9"/>
  <c r="ED19" i="9"/>
  <c r="EE19" i="9"/>
  <c r="EF19" i="9"/>
  <c r="EG19" i="9"/>
  <c r="EH19" i="9"/>
  <c r="EI19" i="9"/>
  <c r="EJ19" i="9"/>
  <c r="EK19" i="9"/>
  <c r="EL19" i="9"/>
  <c r="EM19" i="9"/>
  <c r="EN19" i="9"/>
  <c r="EO19" i="9"/>
  <c r="EP19" i="9"/>
  <c r="EQ19" i="9"/>
  <c r="ER19" i="9"/>
  <c r="ES19" i="9"/>
  <c r="ET19" i="9"/>
  <c r="EU19" i="9"/>
  <c r="EV19" i="9"/>
  <c r="EW19" i="9"/>
  <c r="EX19" i="9"/>
  <c r="EY19" i="9"/>
  <c r="EZ19" i="9"/>
  <c r="FA19" i="9"/>
  <c r="FB19" i="9"/>
  <c r="FC19" i="9"/>
  <c r="FD19" i="9"/>
  <c r="FE19" i="9"/>
  <c r="FF19" i="9"/>
  <c r="FG19" i="9"/>
  <c r="FH19" i="9"/>
  <c r="FI19" i="9"/>
  <c r="FJ19" i="9"/>
  <c r="FK19" i="9"/>
  <c r="FL19" i="9"/>
  <c r="FM19" i="9"/>
  <c r="FN19" i="9"/>
  <c r="FO19" i="9"/>
  <c r="FP19" i="9"/>
  <c r="FQ19" i="9"/>
  <c r="FR19" i="9"/>
  <c r="FS19" i="9"/>
  <c r="FT19" i="9"/>
  <c r="FU19" i="9"/>
  <c r="FV19" i="9"/>
  <c r="FW19" i="9"/>
  <c r="FX19" i="9"/>
  <c r="FY19" i="9"/>
  <c r="FZ19" i="9"/>
  <c r="GA19" i="9"/>
  <c r="GB19" i="9"/>
  <c r="GC19" i="9"/>
  <c r="GD19" i="9"/>
  <c r="GE19" i="9"/>
  <c r="GF19" i="9"/>
  <c r="GG19" i="9"/>
  <c r="GH19" i="9"/>
  <c r="GI19" i="9"/>
  <c r="GJ19" i="9"/>
  <c r="GK19" i="9"/>
  <c r="GL19" i="9"/>
  <c r="GM19" i="9"/>
  <c r="GN19" i="9"/>
  <c r="GO19" i="9"/>
  <c r="GP19" i="9"/>
  <c r="GQ19" i="9"/>
  <c r="GR19" i="9"/>
  <c r="GS19" i="9"/>
  <c r="GT19" i="9"/>
  <c r="GU19" i="9"/>
  <c r="GV19" i="9"/>
  <c r="GW19" i="9"/>
  <c r="GX19" i="9"/>
  <c r="GY19" i="9"/>
  <c r="GZ19" i="9"/>
  <c r="HA19" i="9"/>
  <c r="HB19" i="9"/>
  <c r="HC19" i="9"/>
  <c r="HD19" i="9"/>
  <c r="HE19" i="9"/>
  <c r="HF19" i="9"/>
  <c r="HG19" i="9"/>
  <c r="HH19" i="9"/>
  <c r="HI19" i="9"/>
  <c r="HJ19" i="9"/>
  <c r="HK19" i="9"/>
  <c r="HL19" i="9"/>
  <c r="HM19" i="9"/>
  <c r="HN19" i="9"/>
  <c r="HO19" i="9"/>
  <c r="HP19" i="9"/>
  <c r="HQ19" i="9"/>
  <c r="HR19" i="9"/>
  <c r="HS19" i="9"/>
  <c r="HT19" i="9"/>
  <c r="HU19" i="9"/>
  <c r="HV19" i="9"/>
  <c r="HW19" i="9"/>
  <c r="HX19" i="9"/>
  <c r="HY19" i="9"/>
  <c r="HZ19" i="9"/>
  <c r="IA19" i="9"/>
  <c r="IB19" i="9"/>
  <c r="IC19" i="9"/>
  <c r="ID19" i="9"/>
  <c r="IE19" i="9"/>
  <c r="IF19" i="9"/>
  <c r="IG19" i="9"/>
  <c r="IH19" i="9"/>
  <c r="II19" i="9"/>
  <c r="IJ19" i="9"/>
  <c r="IK19" i="9"/>
  <c r="IL19" i="9"/>
  <c r="IM19" i="9"/>
  <c r="IN19" i="9"/>
  <c r="IO19" i="9"/>
  <c r="IP19" i="9"/>
  <c r="IQ19" i="9"/>
  <c r="IR19" i="9"/>
  <c r="IS19" i="9"/>
  <c r="IT19" i="9"/>
  <c r="IU19" i="9"/>
  <c r="IV19" i="9"/>
  <c r="A18" i="9"/>
  <c r="B18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BO18" i="9"/>
  <c r="BP18" i="9"/>
  <c r="BQ18" i="9"/>
  <c r="BR18" i="9"/>
  <c r="BS18" i="9"/>
  <c r="BT18" i="9"/>
  <c r="BU18" i="9"/>
  <c r="BV18" i="9"/>
  <c r="BW18" i="9"/>
  <c r="BX18" i="9"/>
  <c r="BY18" i="9"/>
  <c r="BZ18" i="9"/>
  <c r="CA18" i="9"/>
  <c r="CB18" i="9"/>
  <c r="CC18" i="9"/>
  <c r="CD18" i="9"/>
  <c r="CE18" i="9"/>
  <c r="CF18" i="9"/>
  <c r="CG18" i="9"/>
  <c r="CH18" i="9"/>
  <c r="CI18" i="9"/>
  <c r="CJ18" i="9"/>
  <c r="CK18" i="9"/>
  <c r="CL18" i="9"/>
  <c r="CM18" i="9"/>
  <c r="CN18" i="9"/>
  <c r="CO18" i="9"/>
  <c r="CP18" i="9"/>
  <c r="CQ18" i="9"/>
  <c r="CR18" i="9"/>
  <c r="CS18" i="9"/>
  <c r="CT18" i="9"/>
  <c r="CU18" i="9"/>
  <c r="CV18" i="9"/>
  <c r="CW18" i="9"/>
  <c r="CX18" i="9"/>
  <c r="CY18" i="9"/>
  <c r="CZ18" i="9"/>
  <c r="DA18" i="9"/>
  <c r="DB18" i="9"/>
  <c r="DC18" i="9"/>
  <c r="DD18" i="9"/>
  <c r="DE18" i="9"/>
  <c r="DF18" i="9"/>
  <c r="DG18" i="9"/>
  <c r="DH18" i="9"/>
  <c r="DI18" i="9"/>
  <c r="DJ18" i="9"/>
  <c r="DK18" i="9"/>
  <c r="DL18" i="9"/>
  <c r="DM18" i="9"/>
  <c r="DN18" i="9"/>
  <c r="DO18" i="9"/>
  <c r="DP18" i="9"/>
  <c r="DQ18" i="9"/>
  <c r="DR18" i="9"/>
  <c r="DS18" i="9"/>
  <c r="DT18" i="9"/>
  <c r="DU18" i="9"/>
  <c r="DV18" i="9"/>
  <c r="DW18" i="9"/>
  <c r="DX18" i="9"/>
  <c r="DY18" i="9"/>
  <c r="DZ18" i="9"/>
  <c r="EA18" i="9"/>
  <c r="EB18" i="9"/>
  <c r="EC18" i="9"/>
  <c r="ED18" i="9"/>
  <c r="EE18" i="9"/>
  <c r="EF18" i="9"/>
  <c r="EG18" i="9"/>
  <c r="EH18" i="9"/>
  <c r="EI18" i="9"/>
  <c r="EJ18" i="9"/>
  <c r="EK18" i="9"/>
  <c r="EL18" i="9"/>
  <c r="EM18" i="9"/>
  <c r="EN18" i="9"/>
  <c r="EO18" i="9"/>
  <c r="EP18" i="9"/>
  <c r="EQ18" i="9"/>
  <c r="ER18" i="9"/>
  <c r="ES18" i="9"/>
  <c r="ET18" i="9"/>
  <c r="EU18" i="9"/>
  <c r="EV18" i="9"/>
  <c r="EW18" i="9"/>
  <c r="EX18" i="9"/>
  <c r="EY18" i="9"/>
  <c r="EZ18" i="9"/>
  <c r="FA18" i="9"/>
  <c r="FB18" i="9"/>
  <c r="FC18" i="9"/>
  <c r="FD18" i="9"/>
  <c r="FE18" i="9"/>
  <c r="FF18" i="9"/>
  <c r="FG18" i="9"/>
  <c r="FH18" i="9"/>
  <c r="FI18" i="9"/>
  <c r="FJ18" i="9"/>
  <c r="FK18" i="9"/>
  <c r="FL18" i="9"/>
  <c r="FM18" i="9"/>
  <c r="FN18" i="9"/>
  <c r="FO18" i="9"/>
  <c r="FP18" i="9"/>
  <c r="FQ18" i="9"/>
  <c r="FR18" i="9"/>
  <c r="FS18" i="9"/>
  <c r="FT18" i="9"/>
  <c r="FU18" i="9"/>
  <c r="FV18" i="9"/>
  <c r="FW18" i="9"/>
  <c r="FX18" i="9"/>
  <c r="FY18" i="9"/>
  <c r="FZ18" i="9"/>
  <c r="GA18" i="9"/>
  <c r="GB18" i="9"/>
  <c r="GC18" i="9"/>
  <c r="GD18" i="9"/>
  <c r="GE18" i="9"/>
  <c r="GF18" i="9"/>
  <c r="GG18" i="9"/>
  <c r="GH18" i="9"/>
  <c r="GI18" i="9"/>
  <c r="GJ18" i="9"/>
  <c r="GK18" i="9"/>
  <c r="GL18" i="9"/>
  <c r="GM18" i="9"/>
  <c r="GN18" i="9"/>
  <c r="GO18" i="9"/>
  <c r="GP18" i="9"/>
  <c r="GQ18" i="9"/>
  <c r="GR18" i="9"/>
  <c r="GS18" i="9"/>
  <c r="GT18" i="9"/>
  <c r="GU18" i="9"/>
  <c r="GV18" i="9"/>
  <c r="GW18" i="9"/>
  <c r="GX18" i="9"/>
  <c r="GY18" i="9"/>
  <c r="GZ18" i="9"/>
  <c r="HA18" i="9"/>
  <c r="HB18" i="9"/>
  <c r="HC18" i="9"/>
  <c r="HD18" i="9"/>
  <c r="HE18" i="9"/>
  <c r="HF18" i="9"/>
  <c r="HG18" i="9"/>
  <c r="HH18" i="9"/>
  <c r="HI18" i="9"/>
  <c r="HJ18" i="9"/>
  <c r="HK18" i="9"/>
  <c r="HL18" i="9"/>
  <c r="HM18" i="9"/>
  <c r="HN18" i="9"/>
  <c r="HO18" i="9"/>
  <c r="HP18" i="9"/>
  <c r="HQ18" i="9"/>
  <c r="HR18" i="9"/>
  <c r="HS18" i="9"/>
  <c r="HT18" i="9"/>
  <c r="HU18" i="9"/>
  <c r="HV18" i="9"/>
  <c r="HW18" i="9"/>
  <c r="HX18" i="9"/>
  <c r="HY18" i="9"/>
  <c r="HZ18" i="9"/>
  <c r="IA18" i="9"/>
  <c r="IB18" i="9"/>
  <c r="IC18" i="9"/>
  <c r="ID18" i="9"/>
  <c r="IE18" i="9"/>
  <c r="IF18" i="9"/>
  <c r="IG18" i="9"/>
  <c r="IH18" i="9"/>
  <c r="II18" i="9"/>
  <c r="IJ18" i="9"/>
  <c r="IK18" i="9"/>
  <c r="IL18" i="9"/>
  <c r="IM18" i="9"/>
  <c r="IN18" i="9"/>
  <c r="IO18" i="9"/>
  <c r="IP18" i="9"/>
  <c r="IQ18" i="9"/>
  <c r="IR18" i="9"/>
  <c r="IS18" i="9"/>
  <c r="IT18" i="9"/>
  <c r="IU18" i="9"/>
  <c r="IV18" i="9"/>
  <c r="A15" i="9"/>
  <c r="B15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AT15" i="9"/>
  <c r="AU15" i="9"/>
  <c r="AV15" i="9"/>
  <c r="AW15" i="9"/>
  <c r="AX15" i="9"/>
  <c r="AY15" i="9"/>
  <c r="AZ15" i="9"/>
  <c r="BA15" i="9"/>
  <c r="BB15" i="9"/>
  <c r="BC15" i="9"/>
  <c r="BD15" i="9"/>
  <c r="BE15" i="9"/>
  <c r="BF15" i="9"/>
  <c r="BG15" i="9"/>
  <c r="BH15" i="9"/>
  <c r="BI15" i="9"/>
  <c r="BJ15" i="9"/>
  <c r="BK15" i="9"/>
  <c r="BL15" i="9"/>
  <c r="BM15" i="9"/>
  <c r="BN15" i="9"/>
  <c r="BO15" i="9"/>
  <c r="BP15" i="9"/>
  <c r="BQ15" i="9"/>
  <c r="BR15" i="9"/>
  <c r="BS15" i="9"/>
  <c r="BT15" i="9"/>
  <c r="BU15" i="9"/>
  <c r="BV15" i="9"/>
  <c r="BW15" i="9"/>
  <c r="BX15" i="9"/>
  <c r="BY15" i="9"/>
  <c r="BZ15" i="9"/>
  <c r="CA15" i="9"/>
  <c r="CB15" i="9"/>
  <c r="CC15" i="9"/>
  <c r="CD15" i="9"/>
  <c r="CE15" i="9"/>
  <c r="A14" i="9"/>
  <c r="B14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AV14" i="9"/>
  <c r="AW14" i="9"/>
  <c r="AX14" i="9"/>
  <c r="AY14" i="9"/>
  <c r="AZ14" i="9"/>
  <c r="BA14" i="9"/>
  <c r="BB14" i="9"/>
  <c r="BC14" i="9"/>
  <c r="BD14" i="9"/>
  <c r="BE14" i="9"/>
  <c r="BF14" i="9"/>
  <c r="BG14" i="9"/>
  <c r="BH14" i="9"/>
  <c r="BI14" i="9"/>
  <c r="BJ14" i="9"/>
  <c r="BK14" i="9"/>
  <c r="BL14" i="9"/>
  <c r="BM14" i="9"/>
  <c r="BN14" i="9"/>
  <c r="BO14" i="9"/>
  <c r="BP14" i="9"/>
  <c r="BQ14" i="9"/>
  <c r="BR14" i="9"/>
  <c r="BS14" i="9"/>
  <c r="BT14" i="9"/>
  <c r="BU14" i="9"/>
  <c r="BV14" i="9"/>
  <c r="BW14" i="9"/>
  <c r="BX14" i="9"/>
  <c r="BY14" i="9"/>
  <c r="BZ14" i="9"/>
  <c r="CA14" i="9"/>
  <c r="CB14" i="9"/>
  <c r="CC14" i="9"/>
  <c r="CD14" i="9"/>
  <c r="CE14" i="9"/>
  <c r="CF14" i="9"/>
  <c r="CG14" i="9"/>
  <c r="CH14" i="9"/>
  <c r="CI14" i="9"/>
  <c r="CJ14" i="9"/>
  <c r="CK14" i="9"/>
  <c r="CL14" i="9"/>
  <c r="CM14" i="9"/>
  <c r="CN14" i="9"/>
  <c r="CO14" i="9"/>
  <c r="CP14" i="9"/>
  <c r="CQ14" i="9"/>
  <c r="CR14" i="9"/>
  <c r="CS14" i="9"/>
  <c r="CT14" i="9"/>
  <c r="CU14" i="9"/>
  <c r="CV14" i="9"/>
  <c r="CW14" i="9"/>
  <c r="CX14" i="9"/>
  <c r="CY14" i="9"/>
  <c r="CZ14" i="9"/>
  <c r="DA14" i="9"/>
  <c r="DB14" i="9"/>
  <c r="DC14" i="9"/>
  <c r="DD14" i="9"/>
  <c r="DE14" i="9"/>
  <c r="DF14" i="9"/>
  <c r="DG14" i="9"/>
  <c r="DH14" i="9"/>
  <c r="DI14" i="9"/>
  <c r="DJ14" i="9"/>
  <c r="DM14" i="9"/>
  <c r="DN14" i="9"/>
  <c r="DO14" i="9"/>
  <c r="A13" i="9"/>
  <c r="B13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AU13" i="9"/>
  <c r="AV13" i="9"/>
  <c r="AW13" i="9"/>
  <c r="AX13" i="9"/>
  <c r="AY13" i="9"/>
  <c r="AZ13" i="9"/>
  <c r="BA13" i="9"/>
  <c r="BB13" i="9"/>
  <c r="BC13" i="9"/>
  <c r="BD13" i="9"/>
  <c r="BE13" i="9"/>
  <c r="BF13" i="9"/>
  <c r="BG13" i="9"/>
  <c r="BH13" i="9"/>
  <c r="BI13" i="9"/>
  <c r="BJ13" i="9"/>
  <c r="BK13" i="9"/>
  <c r="BL13" i="9"/>
  <c r="BM13" i="9"/>
  <c r="BN13" i="9"/>
  <c r="BO13" i="9"/>
  <c r="BP13" i="9"/>
  <c r="BQ13" i="9"/>
  <c r="BR13" i="9"/>
  <c r="BS13" i="9"/>
  <c r="BT13" i="9"/>
  <c r="BU13" i="9"/>
  <c r="BV13" i="9"/>
  <c r="BW13" i="9"/>
  <c r="BX13" i="9"/>
  <c r="BY13" i="9"/>
  <c r="BZ13" i="9"/>
  <c r="CA13" i="9"/>
  <c r="CB13" i="9"/>
  <c r="CC13" i="9"/>
  <c r="CD13" i="9"/>
  <c r="CE13" i="9"/>
  <c r="CF13" i="9"/>
  <c r="CG13" i="9"/>
  <c r="CH13" i="9"/>
  <c r="CI13" i="9"/>
  <c r="CJ13" i="9"/>
  <c r="CK13" i="9"/>
  <c r="CL13" i="9"/>
  <c r="CM13" i="9"/>
  <c r="CN13" i="9"/>
  <c r="CO13" i="9"/>
  <c r="CP13" i="9"/>
  <c r="CQ13" i="9"/>
  <c r="CR13" i="9"/>
  <c r="CS13" i="9"/>
  <c r="CT13" i="9"/>
  <c r="CU13" i="9"/>
  <c r="CV13" i="9"/>
  <c r="CW13" i="9"/>
  <c r="CX13" i="9"/>
  <c r="CY13" i="9"/>
  <c r="CZ13" i="9"/>
  <c r="DA13" i="9"/>
  <c r="DB13" i="9"/>
  <c r="DC13" i="9"/>
  <c r="DD13" i="9"/>
  <c r="DE13" i="9"/>
  <c r="DF13" i="9"/>
  <c r="DG13" i="9"/>
  <c r="DH13" i="9"/>
  <c r="DI13" i="9"/>
  <c r="DJ13" i="9"/>
  <c r="DK13" i="9"/>
  <c r="DL13" i="9"/>
  <c r="DM13" i="9"/>
  <c r="DN13" i="9"/>
  <c r="DO13" i="9"/>
  <c r="DP13" i="9"/>
  <c r="DQ13" i="9"/>
  <c r="DR13" i="9"/>
  <c r="DS13" i="9"/>
  <c r="DT13" i="9"/>
  <c r="DU13" i="9"/>
  <c r="DV13" i="9"/>
  <c r="DW13" i="9"/>
  <c r="DX13" i="9"/>
  <c r="DY13" i="9"/>
  <c r="DZ13" i="9"/>
  <c r="EA13" i="9"/>
  <c r="EB13" i="9"/>
  <c r="EC13" i="9"/>
  <c r="ED13" i="9"/>
  <c r="EE13" i="9"/>
  <c r="EF13" i="9"/>
  <c r="EG13" i="9"/>
  <c r="EH13" i="9"/>
  <c r="EI13" i="9"/>
  <c r="EJ13" i="9"/>
  <c r="EK13" i="9"/>
  <c r="EL13" i="9"/>
  <c r="EM13" i="9"/>
  <c r="EN13" i="9"/>
  <c r="EO13" i="9"/>
  <c r="EP13" i="9"/>
  <c r="EQ13" i="9"/>
  <c r="ER13" i="9"/>
  <c r="ES13" i="9"/>
  <c r="ET13" i="9"/>
  <c r="EU13" i="9"/>
  <c r="EV13" i="9"/>
  <c r="EW13" i="9"/>
  <c r="EX13" i="9"/>
  <c r="EY13" i="9"/>
  <c r="EZ13" i="9"/>
  <c r="FA13" i="9"/>
  <c r="FB13" i="9"/>
  <c r="FC13" i="9"/>
  <c r="FD13" i="9"/>
  <c r="FE13" i="9"/>
  <c r="FF13" i="9"/>
  <c r="FG13" i="9"/>
  <c r="FH13" i="9"/>
  <c r="FI13" i="9"/>
  <c r="FJ13" i="9"/>
  <c r="FK13" i="9"/>
  <c r="FL13" i="9"/>
  <c r="FM13" i="9"/>
  <c r="FN13" i="9"/>
  <c r="FO13" i="9"/>
  <c r="FP13" i="9"/>
  <c r="FQ13" i="9"/>
  <c r="FR13" i="9"/>
  <c r="FS13" i="9"/>
  <c r="FT13" i="9"/>
  <c r="FU13" i="9"/>
  <c r="FV13" i="9"/>
  <c r="FW13" i="9"/>
  <c r="FX13" i="9"/>
  <c r="FY13" i="9"/>
  <c r="FZ13" i="9"/>
  <c r="GA13" i="9"/>
  <c r="GB13" i="9"/>
  <c r="GC13" i="9"/>
  <c r="GD13" i="9"/>
  <c r="GE13" i="9"/>
  <c r="GF13" i="9"/>
  <c r="GG13" i="9"/>
  <c r="GH13" i="9"/>
  <c r="GI13" i="9"/>
  <c r="GJ13" i="9"/>
  <c r="GK13" i="9"/>
  <c r="GL13" i="9"/>
  <c r="GM13" i="9"/>
  <c r="GN13" i="9"/>
  <c r="GO13" i="9"/>
  <c r="GP13" i="9"/>
  <c r="GQ13" i="9"/>
  <c r="GR13" i="9"/>
  <c r="GS13" i="9"/>
  <c r="GT13" i="9"/>
  <c r="GU13" i="9"/>
  <c r="GV13" i="9"/>
  <c r="GW13" i="9"/>
  <c r="GX13" i="9"/>
  <c r="GY13" i="9"/>
  <c r="GZ13" i="9"/>
  <c r="HA13" i="9"/>
  <c r="HB13" i="9"/>
  <c r="HC13" i="9"/>
  <c r="HD13" i="9"/>
  <c r="HE13" i="9"/>
  <c r="HF13" i="9"/>
  <c r="HG13" i="9"/>
  <c r="HH13" i="9"/>
  <c r="HI13" i="9"/>
  <c r="HJ13" i="9"/>
  <c r="HK13" i="9"/>
  <c r="HL13" i="9"/>
  <c r="HM13" i="9"/>
  <c r="HN13" i="9"/>
  <c r="HO13" i="9"/>
  <c r="HP13" i="9"/>
  <c r="HQ13" i="9"/>
  <c r="HR13" i="9"/>
  <c r="HS13" i="9"/>
  <c r="HT13" i="9"/>
  <c r="HU13" i="9"/>
  <c r="HV13" i="9"/>
  <c r="HW13" i="9"/>
  <c r="HX13" i="9"/>
  <c r="HY13" i="9"/>
  <c r="HZ13" i="9"/>
  <c r="IA13" i="9"/>
  <c r="IB13" i="9"/>
  <c r="IC13" i="9"/>
  <c r="ID13" i="9"/>
  <c r="IE13" i="9"/>
  <c r="IF13" i="9"/>
  <c r="IG13" i="9"/>
  <c r="IH13" i="9"/>
  <c r="II13" i="9"/>
  <c r="IJ13" i="9"/>
  <c r="IK13" i="9"/>
  <c r="IL13" i="9"/>
  <c r="IM13" i="9"/>
  <c r="IN13" i="9"/>
  <c r="IO13" i="9"/>
  <c r="IP13" i="9"/>
  <c r="IQ13" i="9"/>
  <c r="IR13" i="9"/>
  <c r="IS13" i="9"/>
  <c r="IT13" i="9"/>
  <c r="IU13" i="9"/>
  <c r="IV13" i="9"/>
  <c r="A12" i="9"/>
  <c r="B12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AT12" i="9"/>
  <c r="AU12" i="9"/>
  <c r="AV12" i="9"/>
  <c r="AW12" i="9"/>
  <c r="AX12" i="9"/>
  <c r="AY12" i="9"/>
  <c r="AZ12" i="9"/>
  <c r="BA12" i="9"/>
  <c r="BB12" i="9"/>
  <c r="BC12" i="9"/>
  <c r="BD12" i="9"/>
  <c r="BE12" i="9"/>
  <c r="BF12" i="9"/>
  <c r="BG12" i="9"/>
  <c r="BH12" i="9"/>
  <c r="BI12" i="9"/>
  <c r="BJ12" i="9"/>
  <c r="BK12" i="9"/>
  <c r="BL12" i="9"/>
  <c r="BM12" i="9"/>
  <c r="BN12" i="9"/>
  <c r="BO12" i="9"/>
  <c r="BP12" i="9"/>
  <c r="BQ12" i="9"/>
  <c r="BR12" i="9"/>
  <c r="BS12" i="9"/>
  <c r="BT12" i="9"/>
  <c r="BU12" i="9"/>
  <c r="BV12" i="9"/>
  <c r="BW12" i="9"/>
  <c r="BX12" i="9"/>
  <c r="BY12" i="9"/>
  <c r="BZ12" i="9"/>
  <c r="CA12" i="9"/>
  <c r="CB12" i="9"/>
  <c r="CC12" i="9"/>
  <c r="CD12" i="9"/>
  <c r="CE12" i="9"/>
  <c r="CF12" i="9"/>
  <c r="CG12" i="9"/>
  <c r="CH12" i="9"/>
  <c r="CI12" i="9"/>
  <c r="CJ12" i="9"/>
  <c r="CK12" i="9"/>
  <c r="CL12" i="9"/>
  <c r="CM12" i="9"/>
  <c r="CN12" i="9"/>
  <c r="CO12" i="9"/>
  <c r="CP12" i="9"/>
  <c r="CQ12" i="9"/>
  <c r="CR12" i="9"/>
  <c r="CS12" i="9"/>
  <c r="CT12" i="9"/>
  <c r="CU12" i="9"/>
  <c r="CV12" i="9"/>
  <c r="CW12" i="9"/>
  <c r="CX12" i="9"/>
  <c r="CY12" i="9"/>
  <c r="CZ12" i="9"/>
  <c r="DA12" i="9"/>
  <c r="DB12" i="9"/>
  <c r="DC12" i="9"/>
  <c r="DD12" i="9"/>
  <c r="DE12" i="9"/>
  <c r="DF12" i="9"/>
  <c r="DG12" i="9"/>
  <c r="DH12" i="9"/>
  <c r="DI12" i="9"/>
  <c r="DJ12" i="9"/>
  <c r="DK12" i="9"/>
  <c r="DL12" i="9"/>
  <c r="DM12" i="9"/>
  <c r="DN12" i="9"/>
  <c r="DO12" i="9"/>
  <c r="DP12" i="9"/>
  <c r="DQ12" i="9"/>
  <c r="DR12" i="9"/>
  <c r="DS12" i="9"/>
  <c r="DT12" i="9"/>
  <c r="DU12" i="9"/>
  <c r="DV12" i="9"/>
  <c r="DW12" i="9"/>
  <c r="DX12" i="9"/>
  <c r="DY12" i="9"/>
  <c r="DZ12" i="9"/>
  <c r="EA12" i="9"/>
  <c r="EB12" i="9"/>
  <c r="EC12" i="9"/>
  <c r="ED12" i="9"/>
  <c r="EE12" i="9"/>
  <c r="EF12" i="9"/>
  <c r="EG12" i="9"/>
  <c r="EH12" i="9"/>
  <c r="EI12" i="9"/>
  <c r="EJ12" i="9"/>
  <c r="EK12" i="9"/>
  <c r="EL12" i="9"/>
  <c r="EM12" i="9"/>
  <c r="EN12" i="9"/>
  <c r="EO12" i="9"/>
  <c r="EP12" i="9"/>
  <c r="EQ12" i="9"/>
  <c r="ER12" i="9"/>
  <c r="ES12" i="9"/>
  <c r="ET12" i="9"/>
  <c r="EU12" i="9"/>
  <c r="EV12" i="9"/>
  <c r="EW12" i="9"/>
  <c r="EX12" i="9"/>
  <c r="EY12" i="9"/>
  <c r="EZ12" i="9"/>
  <c r="FA12" i="9"/>
  <c r="FB12" i="9"/>
  <c r="FC12" i="9"/>
  <c r="FD12" i="9"/>
  <c r="FE12" i="9"/>
  <c r="FF12" i="9"/>
  <c r="FG12" i="9"/>
  <c r="FH12" i="9"/>
  <c r="FI12" i="9"/>
  <c r="FJ12" i="9"/>
  <c r="FK12" i="9"/>
  <c r="FL12" i="9"/>
  <c r="FM12" i="9"/>
  <c r="FN12" i="9"/>
  <c r="FO12" i="9"/>
  <c r="FP12" i="9"/>
  <c r="FQ12" i="9"/>
  <c r="FR12" i="9"/>
  <c r="FS12" i="9"/>
  <c r="FT12" i="9"/>
  <c r="FU12" i="9"/>
  <c r="FV12" i="9"/>
  <c r="FW12" i="9"/>
  <c r="FX12" i="9"/>
  <c r="FY12" i="9"/>
  <c r="FZ12" i="9"/>
  <c r="GA12" i="9"/>
  <c r="GB12" i="9"/>
  <c r="GC12" i="9"/>
  <c r="GD12" i="9"/>
  <c r="GE12" i="9"/>
  <c r="GF12" i="9"/>
  <c r="GG12" i="9"/>
  <c r="GH12" i="9"/>
  <c r="GI12" i="9"/>
  <c r="GJ12" i="9"/>
  <c r="GK12" i="9"/>
  <c r="GL12" i="9"/>
  <c r="GM12" i="9"/>
  <c r="GN12" i="9"/>
  <c r="GO12" i="9"/>
  <c r="GP12" i="9"/>
  <c r="GQ12" i="9"/>
  <c r="GR12" i="9"/>
  <c r="GS12" i="9"/>
  <c r="GT12" i="9"/>
  <c r="GU12" i="9"/>
  <c r="GV12" i="9"/>
  <c r="GW12" i="9"/>
  <c r="GX12" i="9"/>
  <c r="GY12" i="9"/>
  <c r="GZ12" i="9"/>
  <c r="HA12" i="9"/>
  <c r="HB12" i="9"/>
  <c r="HC12" i="9"/>
  <c r="HD12" i="9"/>
  <c r="HE12" i="9"/>
  <c r="HF12" i="9"/>
  <c r="HG12" i="9"/>
  <c r="HH12" i="9"/>
  <c r="HI12" i="9"/>
  <c r="HJ12" i="9"/>
  <c r="HK12" i="9"/>
  <c r="HL12" i="9"/>
  <c r="HM12" i="9"/>
  <c r="HN12" i="9"/>
  <c r="HO12" i="9"/>
  <c r="HP12" i="9"/>
  <c r="HQ12" i="9"/>
  <c r="HR12" i="9"/>
  <c r="HS12" i="9"/>
  <c r="HT12" i="9"/>
  <c r="HU12" i="9"/>
  <c r="HV12" i="9"/>
  <c r="HW12" i="9"/>
  <c r="HX12" i="9"/>
  <c r="HY12" i="9"/>
  <c r="HZ12" i="9"/>
  <c r="IA12" i="9"/>
  <c r="IB12" i="9"/>
  <c r="IC12" i="9"/>
  <c r="ID12" i="9"/>
  <c r="IE12" i="9"/>
  <c r="IF12" i="9"/>
  <c r="IG12" i="9"/>
  <c r="IH12" i="9"/>
  <c r="II12" i="9"/>
  <c r="IJ12" i="9"/>
  <c r="IK12" i="9"/>
  <c r="IL12" i="9"/>
  <c r="IM12" i="9"/>
  <c r="IN12" i="9"/>
  <c r="IO12" i="9"/>
  <c r="IP12" i="9"/>
  <c r="IQ12" i="9"/>
  <c r="IR12" i="9"/>
  <c r="IS12" i="9"/>
  <c r="IT12" i="9"/>
  <c r="IU12" i="9"/>
  <c r="IV12" i="9"/>
  <c r="A11" i="9"/>
  <c r="B11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AI11" i="9"/>
  <c r="AJ11" i="9"/>
  <c r="AK11" i="9"/>
  <c r="AL11" i="9"/>
  <c r="AM11" i="9"/>
  <c r="AN11" i="9"/>
  <c r="AO11" i="9"/>
  <c r="AP11" i="9"/>
  <c r="AQ11" i="9"/>
  <c r="AR11" i="9"/>
  <c r="AS11" i="9"/>
  <c r="AT11" i="9"/>
  <c r="AU11" i="9"/>
  <c r="AV11" i="9"/>
  <c r="AW11" i="9"/>
  <c r="AX11" i="9"/>
  <c r="AY11" i="9"/>
  <c r="AZ11" i="9"/>
  <c r="BA11" i="9"/>
  <c r="BB11" i="9"/>
  <c r="BC11" i="9"/>
  <c r="BD11" i="9"/>
  <c r="BE11" i="9"/>
  <c r="BF11" i="9"/>
  <c r="BG11" i="9"/>
  <c r="BH11" i="9"/>
  <c r="BI11" i="9"/>
  <c r="BJ11" i="9"/>
  <c r="BK11" i="9"/>
  <c r="BL11" i="9"/>
  <c r="BM11" i="9"/>
  <c r="BN11" i="9"/>
  <c r="BO11" i="9"/>
  <c r="BP11" i="9"/>
  <c r="BQ11" i="9"/>
  <c r="BR11" i="9"/>
  <c r="BS11" i="9"/>
  <c r="BT11" i="9"/>
  <c r="BU11" i="9"/>
  <c r="BV11" i="9"/>
  <c r="BW11" i="9"/>
  <c r="BX11" i="9"/>
  <c r="BY11" i="9"/>
  <c r="BZ11" i="9"/>
  <c r="CA11" i="9"/>
  <c r="CB11" i="9"/>
  <c r="CC11" i="9"/>
  <c r="CD11" i="9"/>
  <c r="CE11" i="9"/>
  <c r="CF11" i="9"/>
  <c r="CG11" i="9"/>
  <c r="CH11" i="9"/>
  <c r="CI11" i="9"/>
  <c r="CJ11" i="9"/>
  <c r="CK11" i="9"/>
  <c r="CL11" i="9"/>
  <c r="CM11" i="9"/>
  <c r="CN11" i="9"/>
  <c r="CO11" i="9"/>
  <c r="CP11" i="9"/>
  <c r="CQ11" i="9"/>
  <c r="CR11" i="9"/>
  <c r="CS11" i="9"/>
  <c r="CT11" i="9"/>
  <c r="CU11" i="9"/>
  <c r="CV11" i="9"/>
  <c r="CW11" i="9"/>
  <c r="CX11" i="9"/>
  <c r="CY11" i="9"/>
  <c r="CZ11" i="9"/>
  <c r="DA11" i="9"/>
  <c r="DB11" i="9"/>
  <c r="DC11" i="9"/>
  <c r="DD11" i="9"/>
  <c r="DE11" i="9"/>
  <c r="DF11" i="9"/>
  <c r="DG11" i="9"/>
  <c r="DH11" i="9"/>
  <c r="DI11" i="9"/>
  <c r="DJ11" i="9"/>
  <c r="DK11" i="9"/>
  <c r="DL11" i="9"/>
  <c r="DM11" i="9"/>
  <c r="DN11" i="9"/>
  <c r="DO11" i="9"/>
  <c r="DP11" i="9"/>
  <c r="DQ11" i="9"/>
  <c r="DR11" i="9"/>
  <c r="DS11" i="9"/>
  <c r="DT11" i="9"/>
  <c r="DU11" i="9"/>
  <c r="DV11" i="9"/>
  <c r="DW11" i="9"/>
  <c r="DX11" i="9"/>
  <c r="DY11" i="9"/>
  <c r="DZ11" i="9"/>
  <c r="EA11" i="9"/>
  <c r="EB11" i="9"/>
  <c r="EC11" i="9"/>
  <c r="ED11" i="9"/>
  <c r="EE11" i="9"/>
  <c r="EF11" i="9"/>
  <c r="EG11" i="9"/>
  <c r="EH11" i="9"/>
  <c r="EI11" i="9"/>
  <c r="EJ11" i="9"/>
  <c r="EK11" i="9"/>
  <c r="EL11" i="9"/>
  <c r="EM11" i="9"/>
  <c r="EN11" i="9"/>
  <c r="EO11" i="9"/>
  <c r="EP11" i="9"/>
  <c r="EQ11" i="9"/>
  <c r="ER11" i="9"/>
  <c r="ES11" i="9"/>
  <c r="ET11" i="9"/>
  <c r="EU11" i="9"/>
  <c r="EV11" i="9"/>
  <c r="EW11" i="9"/>
  <c r="EX11" i="9"/>
  <c r="EY11" i="9"/>
  <c r="EZ11" i="9"/>
  <c r="FA11" i="9"/>
  <c r="FB11" i="9"/>
  <c r="FC11" i="9"/>
  <c r="FD11" i="9"/>
  <c r="FE11" i="9"/>
  <c r="FF11" i="9"/>
  <c r="FG11" i="9"/>
  <c r="FH11" i="9"/>
  <c r="FI11" i="9"/>
  <c r="FJ11" i="9"/>
  <c r="FK11" i="9"/>
  <c r="FL11" i="9"/>
  <c r="FM11" i="9"/>
  <c r="FN11" i="9"/>
  <c r="FO11" i="9"/>
  <c r="FP11" i="9"/>
  <c r="FQ11" i="9"/>
  <c r="FR11" i="9"/>
  <c r="FS11" i="9"/>
  <c r="FT11" i="9"/>
  <c r="FU11" i="9"/>
  <c r="FV11" i="9"/>
  <c r="FW11" i="9"/>
  <c r="FX11" i="9"/>
  <c r="FY11" i="9"/>
  <c r="FZ11" i="9"/>
  <c r="GA11" i="9"/>
  <c r="GB11" i="9"/>
  <c r="GC11" i="9"/>
  <c r="GD11" i="9"/>
  <c r="GE11" i="9"/>
  <c r="GF11" i="9"/>
  <c r="GG11" i="9"/>
  <c r="GH11" i="9"/>
  <c r="GI11" i="9"/>
  <c r="GJ11" i="9"/>
  <c r="GK11" i="9"/>
  <c r="GL11" i="9"/>
  <c r="GM11" i="9"/>
  <c r="GN11" i="9"/>
  <c r="GO11" i="9"/>
  <c r="GP11" i="9"/>
  <c r="GQ11" i="9"/>
  <c r="GR11" i="9"/>
  <c r="GS11" i="9"/>
  <c r="GT11" i="9"/>
  <c r="GU11" i="9"/>
  <c r="GV11" i="9"/>
  <c r="GW11" i="9"/>
  <c r="GX11" i="9"/>
  <c r="GY11" i="9"/>
  <c r="GZ11" i="9"/>
  <c r="HA11" i="9"/>
  <c r="HB11" i="9"/>
  <c r="HC11" i="9"/>
  <c r="HD11" i="9"/>
  <c r="HE11" i="9"/>
  <c r="HF11" i="9"/>
  <c r="HG11" i="9"/>
  <c r="HH11" i="9"/>
  <c r="HI11" i="9"/>
  <c r="HJ11" i="9"/>
  <c r="HK11" i="9"/>
  <c r="HL11" i="9"/>
  <c r="HM11" i="9"/>
  <c r="HN11" i="9"/>
  <c r="HO11" i="9"/>
  <c r="HP11" i="9"/>
  <c r="HQ11" i="9"/>
  <c r="HR11" i="9"/>
  <c r="HS11" i="9"/>
  <c r="HT11" i="9"/>
  <c r="HU11" i="9"/>
  <c r="HV11" i="9"/>
  <c r="HW11" i="9"/>
  <c r="HX11" i="9"/>
  <c r="HY11" i="9"/>
  <c r="HZ11" i="9"/>
  <c r="IA11" i="9"/>
  <c r="IB11" i="9"/>
  <c r="IC11" i="9"/>
  <c r="ID11" i="9"/>
  <c r="IE11" i="9"/>
  <c r="IF11" i="9"/>
  <c r="IG11" i="9"/>
  <c r="IH11" i="9"/>
  <c r="II11" i="9"/>
  <c r="IJ11" i="9"/>
  <c r="IK11" i="9"/>
  <c r="IL11" i="9"/>
  <c r="IM11" i="9"/>
  <c r="IN11" i="9"/>
  <c r="IO11" i="9"/>
  <c r="IP11" i="9"/>
  <c r="IQ11" i="9"/>
  <c r="IR11" i="9"/>
  <c r="IS11" i="9"/>
  <c r="IT11" i="9"/>
  <c r="IU11" i="9"/>
  <c r="IV11" i="9"/>
  <c r="A10" i="9"/>
  <c r="B10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AI10" i="9"/>
  <c r="AJ10" i="9"/>
  <c r="AK10" i="9"/>
  <c r="AL10" i="9"/>
  <c r="AM10" i="9"/>
  <c r="AN10" i="9"/>
  <c r="AO10" i="9"/>
  <c r="AP10" i="9"/>
  <c r="AQ10" i="9"/>
  <c r="AR10" i="9"/>
  <c r="AS10" i="9"/>
  <c r="AT10" i="9"/>
  <c r="AU10" i="9"/>
  <c r="AV10" i="9"/>
  <c r="AW10" i="9"/>
  <c r="AX10" i="9"/>
  <c r="AY10" i="9"/>
  <c r="AZ10" i="9"/>
  <c r="BA10" i="9"/>
  <c r="BB10" i="9"/>
  <c r="BC10" i="9"/>
  <c r="BD10" i="9"/>
  <c r="BE10" i="9"/>
  <c r="BF10" i="9"/>
  <c r="BG10" i="9"/>
  <c r="BH10" i="9"/>
  <c r="BI10" i="9"/>
  <c r="BJ10" i="9"/>
  <c r="BK10" i="9"/>
  <c r="BL10" i="9"/>
  <c r="BM10" i="9"/>
  <c r="BN10" i="9"/>
  <c r="BO10" i="9"/>
  <c r="BP10" i="9"/>
  <c r="BQ10" i="9"/>
  <c r="BR10" i="9"/>
  <c r="BS10" i="9"/>
  <c r="BT10" i="9"/>
  <c r="BU10" i="9"/>
  <c r="BV10" i="9"/>
  <c r="BW10" i="9"/>
  <c r="BX10" i="9"/>
  <c r="BY10" i="9"/>
  <c r="BZ10" i="9"/>
  <c r="CA10" i="9"/>
  <c r="CB10" i="9"/>
  <c r="CC10" i="9"/>
  <c r="CD10" i="9"/>
  <c r="CE10" i="9"/>
  <c r="CF10" i="9"/>
  <c r="CG10" i="9"/>
  <c r="CH10" i="9"/>
  <c r="CI10" i="9"/>
  <c r="CJ10" i="9"/>
  <c r="CK10" i="9"/>
  <c r="CL10" i="9"/>
  <c r="CM10" i="9"/>
  <c r="CN10" i="9"/>
  <c r="CO10" i="9"/>
  <c r="CP10" i="9"/>
  <c r="CQ10" i="9"/>
  <c r="CR10" i="9"/>
  <c r="CS10" i="9"/>
  <c r="CT10" i="9"/>
  <c r="CU10" i="9"/>
  <c r="CV10" i="9"/>
  <c r="CW10" i="9"/>
  <c r="CX10" i="9"/>
  <c r="CY10" i="9"/>
  <c r="CZ10" i="9"/>
  <c r="DA10" i="9"/>
  <c r="DB10" i="9"/>
  <c r="DC10" i="9"/>
  <c r="DD10" i="9"/>
  <c r="DE10" i="9"/>
  <c r="DF10" i="9"/>
  <c r="DG10" i="9"/>
  <c r="DH10" i="9"/>
  <c r="DI10" i="9"/>
  <c r="DJ10" i="9"/>
  <c r="DK10" i="9"/>
  <c r="DL10" i="9"/>
  <c r="DM10" i="9"/>
  <c r="DN10" i="9"/>
  <c r="DO10" i="9"/>
  <c r="DP10" i="9"/>
  <c r="DQ10" i="9"/>
  <c r="DR10" i="9"/>
  <c r="DS10" i="9"/>
  <c r="DT10" i="9"/>
  <c r="DU10" i="9"/>
  <c r="DV10" i="9"/>
  <c r="DW10" i="9"/>
  <c r="DX10" i="9"/>
  <c r="DY10" i="9"/>
  <c r="DZ10" i="9"/>
  <c r="EA10" i="9"/>
  <c r="EB10" i="9"/>
  <c r="EC10" i="9"/>
  <c r="ED10" i="9"/>
  <c r="EE10" i="9"/>
  <c r="EF10" i="9"/>
  <c r="EG10" i="9"/>
  <c r="EH10" i="9"/>
  <c r="EI10" i="9"/>
  <c r="EJ10" i="9"/>
  <c r="EK10" i="9"/>
  <c r="EL10" i="9"/>
  <c r="EM10" i="9"/>
  <c r="EN10" i="9"/>
  <c r="EO10" i="9"/>
  <c r="EP10" i="9"/>
  <c r="EQ10" i="9"/>
  <c r="ER10" i="9"/>
  <c r="ES10" i="9"/>
  <c r="ET10" i="9"/>
  <c r="EU10" i="9"/>
  <c r="EV10" i="9"/>
  <c r="EW10" i="9"/>
  <c r="EX10" i="9"/>
  <c r="EY10" i="9"/>
  <c r="EZ10" i="9"/>
  <c r="FA10" i="9"/>
  <c r="FB10" i="9"/>
  <c r="FC10" i="9"/>
  <c r="FD10" i="9"/>
  <c r="FE10" i="9"/>
  <c r="FF10" i="9"/>
  <c r="FG10" i="9"/>
  <c r="FH10" i="9"/>
  <c r="FI10" i="9"/>
  <c r="FJ10" i="9"/>
  <c r="FK10" i="9"/>
  <c r="FL10" i="9"/>
  <c r="FM10" i="9"/>
  <c r="FN10" i="9"/>
  <c r="FO10" i="9"/>
  <c r="FP10" i="9"/>
  <c r="FQ10" i="9"/>
  <c r="FR10" i="9"/>
  <c r="FS10" i="9"/>
  <c r="FT10" i="9"/>
  <c r="FU10" i="9"/>
  <c r="FV10" i="9"/>
  <c r="FW10" i="9"/>
  <c r="FX10" i="9"/>
  <c r="FY10" i="9"/>
  <c r="FZ10" i="9"/>
  <c r="GA10" i="9"/>
  <c r="GB10" i="9"/>
  <c r="GC10" i="9"/>
  <c r="GD10" i="9"/>
  <c r="GE10" i="9"/>
  <c r="GF10" i="9"/>
  <c r="GG10" i="9"/>
  <c r="GH10" i="9"/>
  <c r="GI10" i="9"/>
  <c r="GJ10" i="9"/>
  <c r="GK10" i="9"/>
  <c r="GL10" i="9"/>
  <c r="GM10" i="9"/>
  <c r="GN10" i="9"/>
  <c r="GO10" i="9"/>
  <c r="GP10" i="9"/>
  <c r="GQ10" i="9"/>
  <c r="GR10" i="9"/>
  <c r="GS10" i="9"/>
  <c r="GT10" i="9"/>
  <c r="GU10" i="9"/>
  <c r="GV10" i="9"/>
  <c r="GW10" i="9"/>
  <c r="GX10" i="9"/>
  <c r="GY10" i="9"/>
  <c r="GZ10" i="9"/>
  <c r="HA10" i="9"/>
  <c r="HB10" i="9"/>
  <c r="HC10" i="9"/>
  <c r="HD10" i="9"/>
  <c r="HE10" i="9"/>
  <c r="HF10" i="9"/>
  <c r="HG10" i="9"/>
  <c r="HH10" i="9"/>
  <c r="HI10" i="9"/>
  <c r="HJ10" i="9"/>
  <c r="HK10" i="9"/>
  <c r="HL10" i="9"/>
  <c r="HM10" i="9"/>
  <c r="HN10" i="9"/>
  <c r="HO10" i="9"/>
  <c r="HP10" i="9"/>
  <c r="HQ10" i="9"/>
  <c r="HR10" i="9"/>
  <c r="HS10" i="9"/>
  <c r="HT10" i="9"/>
  <c r="HU10" i="9"/>
  <c r="HV10" i="9"/>
  <c r="HW10" i="9"/>
  <c r="HX10" i="9"/>
  <c r="HY10" i="9"/>
  <c r="HZ10" i="9"/>
  <c r="IA10" i="9"/>
  <c r="IB10" i="9"/>
  <c r="IC10" i="9"/>
  <c r="ID10" i="9"/>
  <c r="IE10" i="9"/>
  <c r="IF10" i="9"/>
  <c r="IG10" i="9"/>
  <c r="IH10" i="9"/>
  <c r="II10" i="9"/>
  <c r="IJ10" i="9"/>
  <c r="IK10" i="9"/>
  <c r="IL10" i="9"/>
  <c r="IM10" i="9"/>
  <c r="IN10" i="9"/>
  <c r="IO10" i="9"/>
  <c r="IP10" i="9"/>
  <c r="IQ10" i="9"/>
  <c r="IR10" i="9"/>
  <c r="IS10" i="9"/>
  <c r="IT10" i="9"/>
  <c r="IU10" i="9"/>
  <c r="IV10" i="9"/>
  <c r="A9" i="9"/>
  <c r="B9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AT9" i="9"/>
  <c r="AU9" i="9"/>
  <c r="AV9" i="9"/>
  <c r="AW9" i="9"/>
  <c r="AX9" i="9"/>
  <c r="AY9" i="9"/>
  <c r="AZ9" i="9"/>
  <c r="BA9" i="9"/>
  <c r="BB9" i="9"/>
  <c r="BC9" i="9"/>
  <c r="BD9" i="9"/>
  <c r="BE9" i="9"/>
  <c r="BF9" i="9"/>
  <c r="BG9" i="9"/>
  <c r="BH9" i="9"/>
  <c r="BI9" i="9"/>
  <c r="BJ9" i="9"/>
  <c r="BK9" i="9"/>
  <c r="BL9" i="9"/>
  <c r="BM9" i="9"/>
  <c r="BN9" i="9"/>
  <c r="BO9" i="9"/>
  <c r="BP9" i="9"/>
  <c r="BQ9" i="9"/>
  <c r="BR9" i="9"/>
  <c r="BS9" i="9"/>
  <c r="BT9" i="9"/>
  <c r="BU9" i="9"/>
  <c r="BV9" i="9"/>
  <c r="BW9" i="9"/>
  <c r="BX9" i="9"/>
  <c r="BY9" i="9"/>
  <c r="BZ9" i="9"/>
  <c r="CA9" i="9"/>
  <c r="CB9" i="9"/>
  <c r="CC9" i="9"/>
  <c r="CD9" i="9"/>
  <c r="CE9" i="9"/>
  <c r="CF9" i="9"/>
  <c r="CG9" i="9"/>
  <c r="CH9" i="9"/>
  <c r="CI9" i="9"/>
  <c r="CJ9" i="9"/>
  <c r="CK9" i="9"/>
  <c r="CL9" i="9"/>
  <c r="CM9" i="9"/>
  <c r="CN9" i="9"/>
  <c r="CO9" i="9"/>
  <c r="CP9" i="9"/>
  <c r="CQ9" i="9"/>
  <c r="CR9" i="9"/>
  <c r="CS9" i="9"/>
  <c r="CT9" i="9"/>
  <c r="CU9" i="9"/>
  <c r="CV9" i="9"/>
  <c r="CW9" i="9"/>
  <c r="CX9" i="9"/>
  <c r="CY9" i="9"/>
  <c r="CZ9" i="9"/>
  <c r="DA9" i="9"/>
  <c r="DB9" i="9"/>
  <c r="DC9" i="9"/>
  <c r="DD9" i="9"/>
  <c r="DE9" i="9"/>
  <c r="DF9" i="9"/>
  <c r="DG9" i="9"/>
  <c r="DH9" i="9"/>
  <c r="DI9" i="9"/>
  <c r="DJ9" i="9"/>
  <c r="DK9" i="9"/>
  <c r="DL9" i="9"/>
  <c r="DM9" i="9"/>
  <c r="DN9" i="9"/>
  <c r="DO9" i="9"/>
  <c r="DP9" i="9"/>
  <c r="DQ9" i="9"/>
  <c r="DR9" i="9"/>
  <c r="DS9" i="9"/>
  <c r="DT9" i="9"/>
  <c r="DU9" i="9"/>
  <c r="DV9" i="9"/>
  <c r="DW9" i="9"/>
  <c r="DX9" i="9"/>
  <c r="DY9" i="9"/>
  <c r="DZ9" i="9"/>
  <c r="EA9" i="9"/>
  <c r="EB9" i="9"/>
  <c r="EC9" i="9"/>
  <c r="ED9" i="9"/>
  <c r="EE9" i="9"/>
  <c r="EF9" i="9"/>
  <c r="EG9" i="9"/>
  <c r="EH9" i="9"/>
  <c r="EI9" i="9"/>
  <c r="EJ9" i="9"/>
  <c r="EK9" i="9"/>
  <c r="EL9" i="9"/>
  <c r="EM9" i="9"/>
  <c r="EN9" i="9"/>
  <c r="EO9" i="9"/>
  <c r="EP9" i="9"/>
  <c r="EQ9" i="9"/>
  <c r="ER9" i="9"/>
  <c r="ES9" i="9"/>
  <c r="ET9" i="9"/>
  <c r="EU9" i="9"/>
  <c r="EV9" i="9"/>
  <c r="EW9" i="9"/>
  <c r="EX9" i="9"/>
  <c r="EY9" i="9"/>
  <c r="EZ9" i="9"/>
  <c r="FA9" i="9"/>
  <c r="FB9" i="9"/>
  <c r="FC9" i="9"/>
  <c r="FD9" i="9"/>
  <c r="FE9" i="9"/>
  <c r="FF9" i="9"/>
  <c r="FG9" i="9"/>
  <c r="FH9" i="9"/>
  <c r="FI9" i="9"/>
  <c r="FJ9" i="9"/>
  <c r="FK9" i="9"/>
  <c r="FL9" i="9"/>
  <c r="FM9" i="9"/>
  <c r="FN9" i="9"/>
  <c r="FO9" i="9"/>
  <c r="FP9" i="9"/>
  <c r="FQ9" i="9"/>
  <c r="FR9" i="9"/>
  <c r="FS9" i="9"/>
  <c r="FT9" i="9"/>
  <c r="FU9" i="9"/>
  <c r="FV9" i="9"/>
  <c r="FW9" i="9"/>
  <c r="FX9" i="9"/>
  <c r="FY9" i="9"/>
  <c r="FZ9" i="9"/>
  <c r="GA9" i="9"/>
  <c r="GB9" i="9"/>
  <c r="GC9" i="9"/>
  <c r="GD9" i="9"/>
  <c r="GE9" i="9"/>
  <c r="GF9" i="9"/>
  <c r="GG9" i="9"/>
  <c r="GH9" i="9"/>
  <c r="GI9" i="9"/>
  <c r="GJ9" i="9"/>
  <c r="GK9" i="9"/>
  <c r="GL9" i="9"/>
  <c r="GM9" i="9"/>
  <c r="GN9" i="9"/>
  <c r="GO9" i="9"/>
  <c r="GP9" i="9"/>
  <c r="GQ9" i="9"/>
  <c r="GR9" i="9"/>
  <c r="GS9" i="9"/>
  <c r="GT9" i="9"/>
  <c r="GU9" i="9"/>
  <c r="GV9" i="9"/>
  <c r="GW9" i="9"/>
  <c r="GX9" i="9"/>
  <c r="GY9" i="9"/>
  <c r="GZ9" i="9"/>
  <c r="HA9" i="9"/>
  <c r="HB9" i="9"/>
  <c r="HC9" i="9"/>
  <c r="HD9" i="9"/>
  <c r="HE9" i="9"/>
  <c r="HF9" i="9"/>
  <c r="HG9" i="9"/>
  <c r="HH9" i="9"/>
  <c r="HI9" i="9"/>
  <c r="HJ9" i="9"/>
  <c r="HK9" i="9"/>
  <c r="HL9" i="9"/>
  <c r="HM9" i="9"/>
  <c r="HN9" i="9"/>
  <c r="HO9" i="9"/>
  <c r="HP9" i="9"/>
  <c r="HQ9" i="9"/>
  <c r="HR9" i="9"/>
  <c r="HS9" i="9"/>
  <c r="HT9" i="9"/>
  <c r="HU9" i="9"/>
  <c r="HV9" i="9"/>
  <c r="HW9" i="9"/>
  <c r="HX9" i="9"/>
  <c r="HY9" i="9"/>
  <c r="HZ9" i="9"/>
  <c r="IA9" i="9"/>
  <c r="IB9" i="9"/>
  <c r="IC9" i="9"/>
  <c r="ID9" i="9"/>
  <c r="IE9" i="9"/>
  <c r="IF9" i="9"/>
  <c r="IG9" i="9"/>
  <c r="IH9" i="9"/>
  <c r="II9" i="9"/>
  <c r="IJ9" i="9"/>
  <c r="IK9" i="9"/>
  <c r="IL9" i="9"/>
  <c r="IM9" i="9"/>
  <c r="IN9" i="9"/>
  <c r="IO9" i="9"/>
  <c r="IP9" i="9"/>
  <c r="IQ9" i="9"/>
  <c r="IR9" i="9"/>
  <c r="IS9" i="9"/>
  <c r="IT9" i="9"/>
  <c r="IU9" i="9"/>
  <c r="IV9" i="9"/>
  <c r="A8" i="9"/>
  <c r="B8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AJ8" i="9"/>
  <c r="AK8" i="9"/>
  <c r="AL8" i="9"/>
  <c r="AM8" i="9"/>
  <c r="AN8" i="9"/>
  <c r="AO8" i="9"/>
  <c r="AP8" i="9"/>
  <c r="AQ8" i="9"/>
  <c r="AR8" i="9"/>
  <c r="AS8" i="9"/>
  <c r="AT8" i="9"/>
  <c r="AU8" i="9"/>
  <c r="AV8" i="9"/>
  <c r="AW8" i="9"/>
  <c r="AX8" i="9"/>
  <c r="AY8" i="9"/>
  <c r="AZ8" i="9"/>
  <c r="BA8" i="9"/>
  <c r="BB8" i="9"/>
  <c r="BC8" i="9"/>
  <c r="BD8" i="9"/>
  <c r="BE8" i="9"/>
  <c r="BF8" i="9"/>
  <c r="BG8" i="9"/>
  <c r="BH8" i="9"/>
  <c r="BI8" i="9"/>
  <c r="BJ8" i="9"/>
  <c r="BK8" i="9"/>
  <c r="BL8" i="9"/>
  <c r="BM8" i="9"/>
  <c r="BN8" i="9"/>
  <c r="BO8" i="9"/>
  <c r="BP8" i="9"/>
  <c r="BQ8" i="9"/>
  <c r="BR8" i="9"/>
  <c r="BS8" i="9"/>
  <c r="BT8" i="9"/>
  <c r="BU8" i="9"/>
  <c r="BV8" i="9"/>
  <c r="BW8" i="9"/>
  <c r="BX8" i="9"/>
  <c r="BY8" i="9"/>
  <c r="BZ8" i="9"/>
  <c r="CA8" i="9"/>
  <c r="CB8" i="9"/>
  <c r="CC8" i="9"/>
  <c r="CD8" i="9"/>
  <c r="CE8" i="9"/>
  <c r="CF8" i="9"/>
  <c r="CG8" i="9"/>
  <c r="CH8" i="9"/>
  <c r="CI8" i="9"/>
  <c r="CJ8" i="9"/>
  <c r="CK8" i="9"/>
  <c r="CL8" i="9"/>
  <c r="CM8" i="9"/>
  <c r="CN8" i="9"/>
  <c r="CO8" i="9"/>
  <c r="CP8" i="9"/>
  <c r="CQ8" i="9"/>
  <c r="CR8" i="9"/>
  <c r="CS8" i="9"/>
  <c r="CT8" i="9"/>
  <c r="CU8" i="9"/>
  <c r="CV8" i="9"/>
  <c r="CW8" i="9"/>
  <c r="CX8" i="9"/>
  <c r="CY8" i="9"/>
  <c r="CZ8" i="9"/>
  <c r="DA8" i="9"/>
  <c r="DB8" i="9"/>
  <c r="DC8" i="9"/>
  <c r="DD8" i="9"/>
  <c r="DE8" i="9"/>
  <c r="DF8" i="9"/>
  <c r="DG8" i="9"/>
  <c r="DH8" i="9"/>
  <c r="DI8" i="9"/>
  <c r="DJ8" i="9"/>
  <c r="DK8" i="9"/>
  <c r="DL8" i="9"/>
  <c r="DM8" i="9"/>
  <c r="DN8" i="9"/>
  <c r="DO8" i="9"/>
  <c r="DP8" i="9"/>
  <c r="DQ8" i="9"/>
  <c r="DR8" i="9"/>
  <c r="DS8" i="9"/>
  <c r="DT8" i="9"/>
  <c r="DU8" i="9"/>
  <c r="DV8" i="9"/>
  <c r="DW8" i="9"/>
  <c r="DX8" i="9"/>
  <c r="DY8" i="9"/>
  <c r="DZ8" i="9"/>
  <c r="EA8" i="9"/>
  <c r="EB8" i="9"/>
  <c r="EC8" i="9"/>
  <c r="ED8" i="9"/>
  <c r="EE8" i="9"/>
  <c r="EF8" i="9"/>
  <c r="EG8" i="9"/>
  <c r="EH8" i="9"/>
  <c r="EI8" i="9"/>
  <c r="EJ8" i="9"/>
  <c r="EK8" i="9"/>
  <c r="EL8" i="9"/>
  <c r="EM8" i="9"/>
  <c r="EN8" i="9"/>
  <c r="EO8" i="9"/>
  <c r="EP8" i="9"/>
  <c r="EQ8" i="9"/>
  <c r="ER8" i="9"/>
  <c r="ES8" i="9"/>
  <c r="ET8" i="9"/>
  <c r="EU8" i="9"/>
  <c r="EV8" i="9"/>
  <c r="EW8" i="9"/>
  <c r="EX8" i="9"/>
  <c r="EY8" i="9"/>
  <c r="EZ8" i="9"/>
  <c r="FA8" i="9"/>
  <c r="FB8" i="9"/>
  <c r="FC8" i="9"/>
  <c r="FD8" i="9"/>
  <c r="FE8" i="9"/>
  <c r="FF8" i="9"/>
  <c r="FG8" i="9"/>
  <c r="FH8" i="9"/>
  <c r="FI8" i="9"/>
  <c r="FJ8" i="9"/>
  <c r="FK8" i="9"/>
  <c r="FL8" i="9"/>
  <c r="FM8" i="9"/>
  <c r="FN8" i="9"/>
  <c r="FO8" i="9"/>
  <c r="FP8" i="9"/>
  <c r="FQ8" i="9"/>
  <c r="FR8" i="9"/>
  <c r="FS8" i="9"/>
  <c r="FT8" i="9"/>
  <c r="FU8" i="9"/>
  <c r="FV8" i="9"/>
  <c r="FW8" i="9"/>
  <c r="FX8" i="9"/>
  <c r="FY8" i="9"/>
  <c r="FZ8" i="9"/>
  <c r="GA8" i="9"/>
  <c r="GB8" i="9"/>
  <c r="GC8" i="9"/>
  <c r="GD8" i="9"/>
  <c r="GE8" i="9"/>
  <c r="GF8" i="9"/>
  <c r="GG8" i="9"/>
  <c r="GH8" i="9"/>
  <c r="GI8" i="9"/>
  <c r="GJ8" i="9"/>
  <c r="GK8" i="9"/>
  <c r="GL8" i="9"/>
  <c r="GM8" i="9"/>
  <c r="GN8" i="9"/>
  <c r="GO8" i="9"/>
  <c r="GP8" i="9"/>
  <c r="GQ8" i="9"/>
  <c r="GR8" i="9"/>
  <c r="GS8" i="9"/>
  <c r="GT8" i="9"/>
  <c r="GU8" i="9"/>
  <c r="GV8" i="9"/>
  <c r="GW8" i="9"/>
  <c r="GX8" i="9"/>
  <c r="GY8" i="9"/>
  <c r="GZ8" i="9"/>
  <c r="HA8" i="9"/>
  <c r="HB8" i="9"/>
  <c r="HC8" i="9"/>
  <c r="HD8" i="9"/>
  <c r="HE8" i="9"/>
  <c r="HF8" i="9"/>
  <c r="HG8" i="9"/>
  <c r="HH8" i="9"/>
  <c r="HI8" i="9"/>
  <c r="HJ8" i="9"/>
  <c r="HK8" i="9"/>
  <c r="HL8" i="9"/>
  <c r="HM8" i="9"/>
  <c r="HN8" i="9"/>
  <c r="HO8" i="9"/>
  <c r="HP8" i="9"/>
  <c r="HQ8" i="9"/>
  <c r="HR8" i="9"/>
  <c r="HS8" i="9"/>
  <c r="HT8" i="9"/>
  <c r="HU8" i="9"/>
  <c r="HV8" i="9"/>
  <c r="HW8" i="9"/>
  <c r="HX8" i="9"/>
  <c r="HY8" i="9"/>
  <c r="HZ8" i="9"/>
  <c r="IA8" i="9"/>
  <c r="IB8" i="9"/>
  <c r="IC8" i="9"/>
  <c r="ID8" i="9"/>
  <c r="IE8" i="9"/>
  <c r="IF8" i="9"/>
  <c r="IG8" i="9"/>
  <c r="IH8" i="9"/>
  <c r="II8" i="9"/>
  <c r="IJ8" i="9"/>
  <c r="IK8" i="9"/>
  <c r="IL8" i="9"/>
  <c r="IM8" i="9"/>
  <c r="IN8" i="9"/>
  <c r="IO8" i="9"/>
  <c r="IP8" i="9"/>
  <c r="IQ8" i="9"/>
  <c r="IR8" i="9"/>
  <c r="IS8" i="9"/>
  <c r="IT8" i="9"/>
  <c r="IU8" i="9"/>
  <c r="IV8" i="9"/>
  <c r="A7" i="9"/>
  <c r="B7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M7" i="9"/>
  <c r="AN7" i="9"/>
  <c r="AO7" i="9"/>
  <c r="AP7" i="9"/>
  <c r="AQ7" i="9"/>
  <c r="AR7" i="9"/>
  <c r="AS7" i="9"/>
  <c r="AT7" i="9"/>
  <c r="AU7" i="9"/>
  <c r="AV7" i="9"/>
  <c r="AW7" i="9"/>
  <c r="AX7" i="9"/>
  <c r="AY7" i="9"/>
  <c r="AZ7" i="9"/>
  <c r="BA7" i="9"/>
  <c r="BB7" i="9"/>
  <c r="BC7" i="9"/>
  <c r="BD7" i="9"/>
  <c r="BE7" i="9"/>
  <c r="BF7" i="9"/>
  <c r="BG7" i="9"/>
  <c r="BH7" i="9"/>
  <c r="BI7" i="9"/>
  <c r="BJ7" i="9"/>
  <c r="BK7" i="9"/>
  <c r="BL7" i="9"/>
  <c r="BM7" i="9"/>
  <c r="BN7" i="9"/>
  <c r="BO7" i="9"/>
  <c r="BP7" i="9"/>
  <c r="BQ7" i="9"/>
  <c r="BR7" i="9"/>
  <c r="BS7" i="9"/>
  <c r="BT7" i="9"/>
  <c r="BU7" i="9"/>
  <c r="BV7" i="9"/>
  <c r="BW7" i="9"/>
  <c r="BX7" i="9"/>
  <c r="BY7" i="9"/>
  <c r="BZ7" i="9"/>
  <c r="CA7" i="9"/>
  <c r="CB7" i="9"/>
  <c r="CC7" i="9"/>
  <c r="CD7" i="9"/>
  <c r="CE7" i="9"/>
  <c r="CF7" i="9"/>
  <c r="CG7" i="9"/>
  <c r="CH7" i="9"/>
  <c r="CI7" i="9"/>
  <c r="CJ7" i="9"/>
  <c r="CK7" i="9"/>
  <c r="CL7" i="9"/>
  <c r="CM7" i="9"/>
  <c r="CN7" i="9"/>
  <c r="CO7" i="9"/>
  <c r="CP7" i="9"/>
  <c r="CQ7" i="9"/>
  <c r="CR7" i="9"/>
  <c r="CS7" i="9"/>
  <c r="CT7" i="9"/>
  <c r="CU7" i="9"/>
  <c r="CV7" i="9"/>
  <c r="CW7" i="9"/>
  <c r="CX7" i="9"/>
  <c r="CY7" i="9"/>
  <c r="CZ7" i="9"/>
  <c r="DA7" i="9"/>
  <c r="DB7" i="9"/>
  <c r="DC7" i="9"/>
  <c r="DD7" i="9"/>
  <c r="DE7" i="9"/>
  <c r="DF7" i="9"/>
  <c r="DG7" i="9"/>
  <c r="DH7" i="9"/>
  <c r="DI7" i="9"/>
  <c r="DJ7" i="9"/>
  <c r="DK7" i="9"/>
  <c r="DL7" i="9"/>
  <c r="DM7" i="9"/>
  <c r="DN7" i="9"/>
  <c r="DO7" i="9"/>
  <c r="DP7" i="9"/>
  <c r="DQ7" i="9"/>
  <c r="DR7" i="9"/>
  <c r="DS7" i="9"/>
  <c r="DT7" i="9"/>
  <c r="DU7" i="9"/>
  <c r="DV7" i="9"/>
  <c r="DW7" i="9"/>
  <c r="DX7" i="9"/>
  <c r="DY7" i="9"/>
  <c r="DZ7" i="9"/>
  <c r="EA7" i="9"/>
  <c r="EB7" i="9"/>
  <c r="EC7" i="9"/>
  <c r="ED7" i="9"/>
  <c r="EE7" i="9"/>
  <c r="EF7" i="9"/>
  <c r="EG7" i="9"/>
  <c r="EH7" i="9"/>
  <c r="EI7" i="9"/>
  <c r="EJ7" i="9"/>
  <c r="EK7" i="9"/>
  <c r="EL7" i="9"/>
  <c r="EM7" i="9"/>
  <c r="EN7" i="9"/>
  <c r="EO7" i="9"/>
  <c r="EP7" i="9"/>
  <c r="EQ7" i="9"/>
  <c r="ER7" i="9"/>
  <c r="ES7" i="9"/>
  <c r="ET7" i="9"/>
  <c r="EU7" i="9"/>
  <c r="EV7" i="9"/>
  <c r="EW7" i="9"/>
  <c r="EX7" i="9"/>
  <c r="EY7" i="9"/>
  <c r="EZ7" i="9"/>
  <c r="FA7" i="9"/>
  <c r="FB7" i="9"/>
  <c r="FC7" i="9"/>
  <c r="FD7" i="9"/>
  <c r="FE7" i="9"/>
  <c r="FF7" i="9"/>
  <c r="FG7" i="9"/>
  <c r="FH7" i="9"/>
  <c r="FI7" i="9"/>
  <c r="FJ7" i="9"/>
  <c r="FK7" i="9"/>
  <c r="FL7" i="9"/>
  <c r="FM7" i="9"/>
  <c r="FN7" i="9"/>
  <c r="FO7" i="9"/>
  <c r="FP7" i="9"/>
  <c r="FQ7" i="9"/>
  <c r="FR7" i="9"/>
  <c r="FS7" i="9"/>
  <c r="FT7" i="9"/>
  <c r="FU7" i="9"/>
  <c r="FV7" i="9"/>
  <c r="FW7" i="9"/>
  <c r="FX7" i="9"/>
  <c r="FY7" i="9"/>
  <c r="FZ7" i="9"/>
  <c r="GA7" i="9"/>
  <c r="GB7" i="9"/>
  <c r="GC7" i="9"/>
  <c r="GD7" i="9"/>
  <c r="GE7" i="9"/>
  <c r="GF7" i="9"/>
  <c r="GG7" i="9"/>
  <c r="GH7" i="9"/>
  <c r="GI7" i="9"/>
  <c r="GJ7" i="9"/>
  <c r="GK7" i="9"/>
  <c r="GL7" i="9"/>
  <c r="GM7" i="9"/>
  <c r="GN7" i="9"/>
  <c r="GO7" i="9"/>
  <c r="GP7" i="9"/>
  <c r="GQ7" i="9"/>
  <c r="GR7" i="9"/>
  <c r="GS7" i="9"/>
  <c r="GT7" i="9"/>
  <c r="GU7" i="9"/>
  <c r="GV7" i="9"/>
  <c r="GW7" i="9"/>
  <c r="GX7" i="9"/>
  <c r="GY7" i="9"/>
  <c r="GZ7" i="9"/>
  <c r="HA7" i="9"/>
  <c r="HB7" i="9"/>
  <c r="HC7" i="9"/>
  <c r="HD7" i="9"/>
  <c r="HE7" i="9"/>
  <c r="HF7" i="9"/>
  <c r="HG7" i="9"/>
  <c r="HH7" i="9"/>
  <c r="HI7" i="9"/>
  <c r="HJ7" i="9"/>
  <c r="HK7" i="9"/>
  <c r="HL7" i="9"/>
  <c r="HM7" i="9"/>
  <c r="HN7" i="9"/>
  <c r="HO7" i="9"/>
  <c r="HP7" i="9"/>
  <c r="HQ7" i="9"/>
  <c r="HR7" i="9"/>
  <c r="HS7" i="9"/>
  <c r="HT7" i="9"/>
  <c r="HU7" i="9"/>
  <c r="HV7" i="9"/>
  <c r="HW7" i="9"/>
  <c r="HX7" i="9"/>
  <c r="HY7" i="9"/>
  <c r="HZ7" i="9"/>
  <c r="IA7" i="9"/>
  <c r="IB7" i="9"/>
  <c r="IC7" i="9"/>
  <c r="ID7" i="9"/>
  <c r="IE7" i="9"/>
  <c r="IF7" i="9"/>
  <c r="IG7" i="9"/>
  <c r="IH7" i="9"/>
  <c r="II7" i="9"/>
  <c r="IJ7" i="9"/>
  <c r="IK7" i="9"/>
  <c r="IL7" i="9"/>
  <c r="IM7" i="9"/>
  <c r="IN7" i="9"/>
  <c r="IO7" i="9"/>
  <c r="IP7" i="9"/>
  <c r="IQ7" i="9"/>
  <c r="IR7" i="9"/>
  <c r="IS7" i="9"/>
  <c r="IT7" i="9"/>
  <c r="IU7" i="9"/>
  <c r="IV7" i="9"/>
  <c r="A6" i="9"/>
  <c r="B6" i="9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L6" i="9"/>
  <c r="AM6" i="9"/>
  <c r="AN6" i="9"/>
  <c r="AO6" i="9"/>
  <c r="AP6" i="9"/>
  <c r="AQ6" i="9"/>
  <c r="AR6" i="9"/>
  <c r="AS6" i="9"/>
  <c r="AT6" i="9"/>
  <c r="AU6" i="9"/>
  <c r="AV6" i="9"/>
  <c r="AW6" i="9"/>
  <c r="AX6" i="9"/>
  <c r="AY6" i="9"/>
  <c r="AZ6" i="9"/>
  <c r="BA6" i="9"/>
  <c r="BB6" i="9"/>
  <c r="BC6" i="9"/>
  <c r="BD6" i="9"/>
  <c r="BE6" i="9"/>
  <c r="BF6" i="9"/>
  <c r="BG6" i="9"/>
  <c r="BH6" i="9"/>
  <c r="BI6" i="9"/>
  <c r="BJ6" i="9"/>
  <c r="BK6" i="9"/>
  <c r="BL6" i="9"/>
  <c r="BM6" i="9"/>
  <c r="BN6" i="9"/>
  <c r="BO6" i="9"/>
  <c r="BP6" i="9"/>
  <c r="BQ6" i="9"/>
  <c r="BR6" i="9"/>
  <c r="BS6" i="9"/>
  <c r="BT6" i="9"/>
  <c r="BU6" i="9"/>
  <c r="BV6" i="9"/>
  <c r="BW6" i="9"/>
  <c r="BX6" i="9"/>
  <c r="BY6" i="9"/>
  <c r="BZ6" i="9"/>
  <c r="CA6" i="9"/>
  <c r="CB6" i="9"/>
  <c r="CC6" i="9"/>
  <c r="CD6" i="9"/>
  <c r="CE6" i="9"/>
  <c r="CF6" i="9"/>
  <c r="CG6" i="9"/>
  <c r="CH6" i="9"/>
  <c r="CI6" i="9"/>
  <c r="CJ6" i="9"/>
  <c r="CK6" i="9"/>
  <c r="CL6" i="9"/>
  <c r="CM6" i="9"/>
  <c r="CN6" i="9"/>
  <c r="CO6" i="9"/>
  <c r="CP6" i="9"/>
  <c r="CQ6" i="9"/>
  <c r="CR6" i="9"/>
  <c r="CS6" i="9"/>
  <c r="CT6" i="9"/>
  <c r="CU6" i="9"/>
  <c r="CV6" i="9"/>
  <c r="CW6" i="9"/>
  <c r="CX6" i="9"/>
  <c r="CY6" i="9"/>
  <c r="CZ6" i="9"/>
  <c r="DA6" i="9"/>
  <c r="DB6" i="9"/>
  <c r="DC6" i="9"/>
  <c r="DD6" i="9"/>
  <c r="DE6" i="9"/>
  <c r="DF6" i="9"/>
  <c r="DG6" i="9"/>
  <c r="DH6" i="9"/>
  <c r="DI6" i="9"/>
  <c r="DJ6" i="9"/>
  <c r="DK6" i="9"/>
  <c r="DL6" i="9"/>
  <c r="DM6" i="9"/>
  <c r="DN6" i="9"/>
  <c r="DO6" i="9"/>
  <c r="DP6" i="9"/>
  <c r="DQ6" i="9"/>
  <c r="DR6" i="9"/>
  <c r="DS6" i="9"/>
  <c r="DT6" i="9"/>
  <c r="DU6" i="9"/>
  <c r="DV6" i="9"/>
  <c r="DW6" i="9"/>
  <c r="DX6" i="9"/>
  <c r="DY6" i="9"/>
  <c r="DZ6" i="9"/>
  <c r="EA6" i="9"/>
  <c r="EB6" i="9"/>
  <c r="EC6" i="9"/>
  <c r="ED6" i="9"/>
  <c r="EE6" i="9"/>
  <c r="EF6" i="9"/>
  <c r="EG6" i="9"/>
  <c r="EH6" i="9"/>
  <c r="EI6" i="9"/>
  <c r="EJ6" i="9"/>
  <c r="EK6" i="9"/>
  <c r="EL6" i="9"/>
  <c r="EM6" i="9"/>
  <c r="EN6" i="9"/>
  <c r="EO6" i="9"/>
  <c r="EP6" i="9"/>
  <c r="EQ6" i="9"/>
  <c r="ER6" i="9"/>
  <c r="ES6" i="9"/>
  <c r="ET6" i="9"/>
  <c r="EU6" i="9"/>
  <c r="EV6" i="9"/>
  <c r="EW6" i="9"/>
  <c r="EX6" i="9"/>
  <c r="EY6" i="9"/>
  <c r="EZ6" i="9"/>
  <c r="FA6" i="9"/>
  <c r="FB6" i="9"/>
  <c r="FC6" i="9"/>
  <c r="FD6" i="9"/>
  <c r="FE6" i="9"/>
  <c r="FF6" i="9"/>
  <c r="FG6" i="9"/>
  <c r="FH6" i="9"/>
  <c r="FI6" i="9"/>
  <c r="FJ6" i="9"/>
  <c r="FK6" i="9"/>
  <c r="FL6" i="9"/>
  <c r="FM6" i="9"/>
  <c r="FN6" i="9"/>
  <c r="FO6" i="9"/>
  <c r="FP6" i="9"/>
  <c r="FQ6" i="9"/>
  <c r="FR6" i="9"/>
  <c r="FS6" i="9"/>
  <c r="FT6" i="9"/>
  <c r="FU6" i="9"/>
  <c r="FV6" i="9"/>
  <c r="FW6" i="9"/>
  <c r="FX6" i="9"/>
  <c r="FY6" i="9"/>
  <c r="FZ6" i="9"/>
  <c r="GA6" i="9"/>
  <c r="GB6" i="9"/>
  <c r="GC6" i="9"/>
  <c r="GD6" i="9"/>
  <c r="GE6" i="9"/>
  <c r="GF6" i="9"/>
  <c r="GG6" i="9"/>
  <c r="GH6" i="9"/>
  <c r="GI6" i="9"/>
  <c r="GJ6" i="9"/>
  <c r="GK6" i="9"/>
  <c r="GL6" i="9"/>
  <c r="GM6" i="9"/>
  <c r="GN6" i="9"/>
  <c r="GO6" i="9"/>
  <c r="GP6" i="9"/>
  <c r="GQ6" i="9"/>
  <c r="GR6" i="9"/>
  <c r="GS6" i="9"/>
  <c r="GT6" i="9"/>
  <c r="GU6" i="9"/>
  <c r="GV6" i="9"/>
  <c r="GW6" i="9"/>
  <c r="GX6" i="9"/>
  <c r="GY6" i="9"/>
  <c r="GZ6" i="9"/>
  <c r="HA6" i="9"/>
  <c r="HB6" i="9"/>
  <c r="HC6" i="9"/>
  <c r="HD6" i="9"/>
  <c r="HE6" i="9"/>
  <c r="HF6" i="9"/>
  <c r="HG6" i="9"/>
  <c r="HH6" i="9"/>
  <c r="HI6" i="9"/>
  <c r="HJ6" i="9"/>
  <c r="HK6" i="9"/>
  <c r="HL6" i="9"/>
  <c r="HM6" i="9"/>
  <c r="HN6" i="9"/>
  <c r="HO6" i="9"/>
  <c r="HP6" i="9"/>
  <c r="HQ6" i="9"/>
  <c r="HR6" i="9"/>
  <c r="HS6" i="9"/>
  <c r="HT6" i="9"/>
  <c r="HU6" i="9"/>
  <c r="HV6" i="9"/>
  <c r="HW6" i="9"/>
  <c r="HX6" i="9"/>
  <c r="HY6" i="9"/>
  <c r="HZ6" i="9"/>
  <c r="IA6" i="9"/>
  <c r="IB6" i="9"/>
  <c r="IC6" i="9"/>
  <c r="ID6" i="9"/>
  <c r="IE6" i="9"/>
  <c r="IF6" i="9"/>
  <c r="IG6" i="9"/>
  <c r="IH6" i="9"/>
  <c r="II6" i="9"/>
  <c r="IJ6" i="9"/>
  <c r="IK6" i="9"/>
  <c r="IL6" i="9"/>
  <c r="IM6" i="9"/>
  <c r="IN6" i="9"/>
  <c r="IO6" i="9"/>
  <c r="IP6" i="9"/>
  <c r="IQ6" i="9"/>
  <c r="IR6" i="9"/>
  <c r="IS6" i="9"/>
  <c r="IT6" i="9"/>
  <c r="IU6" i="9"/>
  <c r="IV6" i="9"/>
  <c r="A5" i="9"/>
  <c r="B5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AP5" i="9"/>
  <c r="AQ5" i="9"/>
  <c r="AR5" i="9"/>
  <c r="AS5" i="9"/>
  <c r="AT5" i="9"/>
  <c r="AU5" i="9"/>
  <c r="AV5" i="9"/>
  <c r="AW5" i="9"/>
  <c r="AX5" i="9"/>
  <c r="AY5" i="9"/>
  <c r="AZ5" i="9"/>
  <c r="BA5" i="9"/>
  <c r="BB5" i="9"/>
  <c r="BC5" i="9"/>
  <c r="BD5" i="9"/>
  <c r="BE5" i="9"/>
  <c r="BF5" i="9"/>
  <c r="BG5" i="9"/>
  <c r="BH5" i="9"/>
  <c r="BI5" i="9"/>
  <c r="BJ5" i="9"/>
  <c r="BK5" i="9"/>
  <c r="BL5" i="9"/>
  <c r="BM5" i="9"/>
  <c r="BN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CB5" i="9"/>
  <c r="CC5" i="9"/>
  <c r="CD5" i="9"/>
  <c r="CE5" i="9"/>
  <c r="CF5" i="9"/>
  <c r="CG5" i="9"/>
  <c r="CH5" i="9"/>
  <c r="CI5" i="9"/>
  <c r="CJ5" i="9"/>
  <c r="CK5" i="9"/>
  <c r="CL5" i="9"/>
  <c r="CM5" i="9"/>
  <c r="CN5" i="9"/>
  <c r="CO5" i="9"/>
  <c r="CP5" i="9"/>
  <c r="CQ5" i="9"/>
  <c r="CR5" i="9"/>
  <c r="CS5" i="9"/>
  <c r="CT5" i="9"/>
  <c r="CU5" i="9"/>
  <c r="CV5" i="9"/>
  <c r="CW5" i="9"/>
  <c r="CX5" i="9"/>
  <c r="CY5" i="9"/>
  <c r="CZ5" i="9"/>
  <c r="DA5" i="9"/>
  <c r="DB5" i="9"/>
  <c r="DC5" i="9"/>
  <c r="DD5" i="9"/>
  <c r="DE5" i="9"/>
  <c r="DF5" i="9"/>
  <c r="DG5" i="9"/>
  <c r="DH5" i="9"/>
  <c r="DI5" i="9"/>
  <c r="DJ5" i="9"/>
  <c r="DK5" i="9"/>
  <c r="DL5" i="9"/>
  <c r="DM5" i="9"/>
  <c r="DN5" i="9"/>
  <c r="DO5" i="9"/>
  <c r="DP5" i="9"/>
  <c r="DQ5" i="9"/>
  <c r="DR5" i="9"/>
  <c r="DS5" i="9"/>
  <c r="DT5" i="9"/>
  <c r="DU5" i="9"/>
  <c r="DV5" i="9"/>
  <c r="DW5" i="9"/>
  <c r="DX5" i="9"/>
  <c r="DY5" i="9"/>
  <c r="DZ5" i="9"/>
  <c r="EA5" i="9"/>
  <c r="EB5" i="9"/>
  <c r="EC5" i="9"/>
  <c r="ED5" i="9"/>
  <c r="EE5" i="9"/>
  <c r="EF5" i="9"/>
  <c r="EG5" i="9"/>
  <c r="EH5" i="9"/>
  <c r="EI5" i="9"/>
  <c r="EJ5" i="9"/>
  <c r="EK5" i="9"/>
  <c r="EL5" i="9"/>
  <c r="EM5" i="9"/>
  <c r="EN5" i="9"/>
  <c r="EO5" i="9"/>
  <c r="EP5" i="9"/>
  <c r="EQ5" i="9"/>
  <c r="ER5" i="9"/>
  <c r="ES5" i="9"/>
  <c r="ET5" i="9"/>
  <c r="EU5" i="9"/>
  <c r="EV5" i="9"/>
  <c r="EW5" i="9"/>
  <c r="EX5" i="9"/>
  <c r="EY5" i="9"/>
  <c r="EZ5" i="9"/>
  <c r="FA5" i="9"/>
  <c r="FB5" i="9"/>
  <c r="FC5" i="9"/>
  <c r="FD5" i="9"/>
  <c r="FE5" i="9"/>
  <c r="FF5" i="9"/>
  <c r="FG5" i="9"/>
  <c r="FH5" i="9"/>
  <c r="FI5" i="9"/>
  <c r="FJ5" i="9"/>
  <c r="FK5" i="9"/>
  <c r="FL5" i="9"/>
  <c r="FM5" i="9"/>
  <c r="FN5" i="9"/>
  <c r="FO5" i="9"/>
  <c r="FP5" i="9"/>
  <c r="FQ5" i="9"/>
  <c r="FR5" i="9"/>
  <c r="FS5" i="9"/>
  <c r="FT5" i="9"/>
  <c r="FU5" i="9"/>
  <c r="FV5" i="9"/>
  <c r="FW5" i="9"/>
  <c r="FX5" i="9"/>
  <c r="FY5" i="9"/>
  <c r="FZ5" i="9"/>
  <c r="GA5" i="9"/>
  <c r="GB5" i="9"/>
  <c r="GC5" i="9"/>
  <c r="GD5" i="9"/>
  <c r="GE5" i="9"/>
  <c r="GF5" i="9"/>
  <c r="GG5" i="9"/>
  <c r="GH5" i="9"/>
  <c r="GI5" i="9"/>
  <c r="GJ5" i="9"/>
  <c r="GK5" i="9"/>
  <c r="GL5" i="9"/>
  <c r="GM5" i="9"/>
  <c r="GN5" i="9"/>
  <c r="GO5" i="9"/>
  <c r="GP5" i="9"/>
  <c r="GQ5" i="9"/>
  <c r="GR5" i="9"/>
  <c r="GS5" i="9"/>
  <c r="GT5" i="9"/>
  <c r="GU5" i="9"/>
  <c r="GV5" i="9"/>
  <c r="GW5" i="9"/>
  <c r="GX5" i="9"/>
  <c r="GY5" i="9"/>
  <c r="GZ5" i="9"/>
  <c r="HA5" i="9"/>
  <c r="HB5" i="9"/>
  <c r="HC5" i="9"/>
  <c r="HD5" i="9"/>
  <c r="HE5" i="9"/>
  <c r="HF5" i="9"/>
  <c r="HG5" i="9"/>
  <c r="HH5" i="9"/>
  <c r="HI5" i="9"/>
  <c r="HJ5" i="9"/>
  <c r="HK5" i="9"/>
  <c r="HL5" i="9"/>
  <c r="HM5" i="9"/>
  <c r="HN5" i="9"/>
  <c r="HO5" i="9"/>
  <c r="HP5" i="9"/>
  <c r="HQ5" i="9"/>
  <c r="HR5" i="9"/>
  <c r="HS5" i="9"/>
  <c r="HT5" i="9"/>
  <c r="HU5" i="9"/>
  <c r="HV5" i="9"/>
  <c r="HW5" i="9"/>
  <c r="HX5" i="9"/>
  <c r="HY5" i="9"/>
  <c r="HZ5" i="9"/>
  <c r="IA5" i="9"/>
  <c r="IB5" i="9"/>
  <c r="IC5" i="9"/>
  <c r="ID5" i="9"/>
  <c r="IE5" i="9"/>
  <c r="IF5" i="9"/>
  <c r="IG5" i="9"/>
  <c r="IH5" i="9"/>
  <c r="II5" i="9"/>
  <c r="IJ5" i="9"/>
  <c r="IK5" i="9"/>
  <c r="IL5" i="9"/>
  <c r="IM5" i="9"/>
  <c r="IN5" i="9"/>
  <c r="IO5" i="9"/>
  <c r="IP5" i="9"/>
  <c r="IQ5" i="9"/>
  <c r="IR5" i="9"/>
  <c r="IS5" i="9"/>
  <c r="IT5" i="9"/>
  <c r="IU5" i="9"/>
  <c r="IV5" i="9"/>
  <c r="A4" i="9"/>
  <c r="B4" i="9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AC4" i="9"/>
  <c r="AD4" i="9"/>
  <c r="AE4" i="9"/>
  <c r="AF4" i="9"/>
  <c r="AG4" i="9"/>
  <c r="AH4" i="9"/>
  <c r="AI4" i="9"/>
  <c r="AJ4" i="9"/>
  <c r="AK4" i="9"/>
  <c r="AL4" i="9"/>
  <c r="AM4" i="9"/>
  <c r="AN4" i="9"/>
  <c r="AO4" i="9"/>
  <c r="AP4" i="9"/>
  <c r="AQ4" i="9"/>
  <c r="AR4" i="9"/>
  <c r="AS4" i="9"/>
  <c r="AT4" i="9"/>
  <c r="AU4" i="9"/>
  <c r="AV4" i="9"/>
  <c r="AW4" i="9"/>
  <c r="AX4" i="9"/>
  <c r="AY4" i="9"/>
  <c r="AZ4" i="9"/>
  <c r="BA4" i="9"/>
  <c r="BB4" i="9"/>
  <c r="BC4" i="9"/>
  <c r="BD4" i="9"/>
  <c r="BE4" i="9"/>
  <c r="BF4" i="9"/>
  <c r="BG4" i="9"/>
  <c r="BH4" i="9"/>
  <c r="BI4" i="9"/>
  <c r="BJ4" i="9"/>
  <c r="BK4" i="9"/>
  <c r="BL4" i="9"/>
  <c r="BM4" i="9"/>
  <c r="BN4" i="9"/>
  <c r="BO4" i="9"/>
  <c r="BP4" i="9"/>
  <c r="BQ4" i="9"/>
  <c r="BR4" i="9"/>
  <c r="BS4" i="9"/>
  <c r="BT4" i="9"/>
  <c r="BU4" i="9"/>
  <c r="BV4" i="9"/>
  <c r="BW4" i="9"/>
  <c r="BX4" i="9"/>
  <c r="BY4" i="9"/>
  <c r="BZ4" i="9"/>
  <c r="CA4" i="9"/>
  <c r="CB4" i="9"/>
  <c r="CC4" i="9"/>
  <c r="CD4" i="9"/>
  <c r="CE4" i="9"/>
  <c r="CF4" i="9"/>
  <c r="CG4" i="9"/>
  <c r="CH4" i="9"/>
  <c r="CI4" i="9"/>
  <c r="CJ4" i="9"/>
  <c r="CK4" i="9"/>
  <c r="CL4" i="9"/>
  <c r="CM4" i="9"/>
  <c r="CN4" i="9"/>
  <c r="CO4" i="9"/>
  <c r="CP4" i="9"/>
  <c r="CQ4" i="9"/>
  <c r="CR4" i="9"/>
  <c r="CS4" i="9"/>
  <c r="CT4" i="9"/>
  <c r="CU4" i="9"/>
  <c r="CV4" i="9"/>
  <c r="CW4" i="9"/>
  <c r="CX4" i="9"/>
  <c r="CY4" i="9"/>
  <c r="CZ4" i="9"/>
  <c r="DA4" i="9"/>
  <c r="DB4" i="9"/>
  <c r="DC4" i="9"/>
  <c r="DD4" i="9"/>
  <c r="DE4" i="9"/>
  <c r="DF4" i="9"/>
  <c r="DG4" i="9"/>
  <c r="DH4" i="9"/>
  <c r="DI4" i="9"/>
  <c r="DJ4" i="9"/>
  <c r="DK4" i="9"/>
  <c r="DL4" i="9"/>
  <c r="DM4" i="9"/>
  <c r="DN4" i="9"/>
  <c r="DO4" i="9"/>
  <c r="DP4" i="9"/>
  <c r="DQ4" i="9"/>
  <c r="DR4" i="9"/>
  <c r="DS4" i="9"/>
  <c r="DT4" i="9"/>
  <c r="DU4" i="9"/>
  <c r="DV4" i="9"/>
  <c r="DW4" i="9"/>
  <c r="DX4" i="9"/>
  <c r="DY4" i="9"/>
  <c r="DZ4" i="9"/>
  <c r="EA4" i="9"/>
  <c r="EB4" i="9"/>
  <c r="EC4" i="9"/>
  <c r="ED4" i="9"/>
  <c r="EE4" i="9"/>
  <c r="EF4" i="9"/>
  <c r="EG4" i="9"/>
  <c r="EH4" i="9"/>
  <c r="EI4" i="9"/>
  <c r="EJ4" i="9"/>
  <c r="EK4" i="9"/>
  <c r="EL4" i="9"/>
  <c r="EM4" i="9"/>
  <c r="EN4" i="9"/>
  <c r="EO4" i="9"/>
  <c r="EP4" i="9"/>
  <c r="EQ4" i="9"/>
  <c r="ER4" i="9"/>
  <c r="ES4" i="9"/>
  <c r="ET4" i="9"/>
  <c r="EU4" i="9"/>
  <c r="EV4" i="9"/>
  <c r="EW4" i="9"/>
  <c r="EX4" i="9"/>
  <c r="EY4" i="9"/>
  <c r="EZ4" i="9"/>
  <c r="FA4" i="9"/>
  <c r="FB4" i="9"/>
  <c r="FC4" i="9"/>
  <c r="FD4" i="9"/>
  <c r="FE4" i="9"/>
  <c r="FF4" i="9"/>
  <c r="FG4" i="9"/>
  <c r="FH4" i="9"/>
  <c r="FI4" i="9"/>
  <c r="FJ4" i="9"/>
  <c r="FK4" i="9"/>
  <c r="FL4" i="9"/>
  <c r="FM4" i="9"/>
  <c r="FN4" i="9"/>
  <c r="FO4" i="9"/>
  <c r="FP4" i="9"/>
  <c r="FQ4" i="9"/>
  <c r="FR4" i="9"/>
  <c r="FS4" i="9"/>
  <c r="FT4" i="9"/>
  <c r="FU4" i="9"/>
  <c r="FV4" i="9"/>
  <c r="FW4" i="9"/>
  <c r="FX4" i="9"/>
  <c r="FY4" i="9"/>
  <c r="FZ4" i="9"/>
  <c r="GA4" i="9"/>
  <c r="GB4" i="9"/>
  <c r="GC4" i="9"/>
  <c r="GD4" i="9"/>
  <c r="GE4" i="9"/>
  <c r="GF4" i="9"/>
  <c r="GG4" i="9"/>
  <c r="GH4" i="9"/>
  <c r="GI4" i="9"/>
  <c r="GJ4" i="9"/>
  <c r="GK4" i="9"/>
  <c r="GL4" i="9"/>
  <c r="GM4" i="9"/>
  <c r="GN4" i="9"/>
  <c r="GO4" i="9"/>
  <c r="GP4" i="9"/>
  <c r="GQ4" i="9"/>
  <c r="GR4" i="9"/>
  <c r="GS4" i="9"/>
  <c r="GT4" i="9"/>
  <c r="GU4" i="9"/>
  <c r="GV4" i="9"/>
  <c r="GW4" i="9"/>
  <c r="GX4" i="9"/>
  <c r="GY4" i="9"/>
  <c r="GZ4" i="9"/>
  <c r="HA4" i="9"/>
  <c r="HB4" i="9"/>
  <c r="HC4" i="9"/>
  <c r="HD4" i="9"/>
  <c r="HE4" i="9"/>
  <c r="HF4" i="9"/>
  <c r="HG4" i="9"/>
  <c r="HH4" i="9"/>
  <c r="HI4" i="9"/>
  <c r="HJ4" i="9"/>
  <c r="HK4" i="9"/>
  <c r="HL4" i="9"/>
  <c r="HM4" i="9"/>
  <c r="HN4" i="9"/>
  <c r="HO4" i="9"/>
  <c r="HP4" i="9"/>
  <c r="HQ4" i="9"/>
  <c r="HR4" i="9"/>
  <c r="HS4" i="9"/>
  <c r="HT4" i="9"/>
  <c r="HU4" i="9"/>
  <c r="HV4" i="9"/>
  <c r="HW4" i="9"/>
  <c r="HX4" i="9"/>
  <c r="HY4" i="9"/>
  <c r="HZ4" i="9"/>
  <c r="IA4" i="9"/>
  <c r="IB4" i="9"/>
  <c r="IC4" i="9"/>
  <c r="ID4" i="9"/>
  <c r="IE4" i="9"/>
  <c r="IF4" i="9"/>
  <c r="IG4" i="9"/>
  <c r="IH4" i="9"/>
  <c r="II4" i="9"/>
  <c r="IJ4" i="9"/>
  <c r="IK4" i="9"/>
  <c r="IL4" i="9"/>
  <c r="IM4" i="9"/>
  <c r="IN4" i="9"/>
  <c r="IO4" i="9"/>
  <c r="IP4" i="9"/>
  <c r="IQ4" i="9"/>
  <c r="IR4" i="9"/>
  <c r="IS4" i="9"/>
  <c r="IT4" i="9"/>
  <c r="IU4" i="9"/>
  <c r="IV4" i="9"/>
  <c r="A3" i="9"/>
  <c r="B3" i="9"/>
  <c r="C3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O3" i="9"/>
  <c r="AP3" i="9"/>
  <c r="AQ3" i="9"/>
  <c r="AR3" i="9"/>
  <c r="AS3" i="9"/>
  <c r="AT3" i="9"/>
  <c r="AU3" i="9"/>
  <c r="AV3" i="9"/>
  <c r="AW3" i="9"/>
  <c r="AX3" i="9"/>
  <c r="AY3" i="9"/>
  <c r="AZ3" i="9"/>
  <c r="BA3" i="9"/>
  <c r="BB3" i="9"/>
  <c r="BC3" i="9"/>
  <c r="BD3" i="9"/>
  <c r="BE3" i="9"/>
  <c r="BF3" i="9"/>
  <c r="BG3" i="9"/>
  <c r="BH3" i="9"/>
  <c r="BI3" i="9"/>
  <c r="BJ3" i="9"/>
  <c r="BK3" i="9"/>
  <c r="BL3" i="9"/>
  <c r="BM3" i="9"/>
  <c r="BN3" i="9"/>
  <c r="BO3" i="9"/>
  <c r="BP3" i="9"/>
  <c r="BQ3" i="9"/>
  <c r="BR3" i="9"/>
  <c r="BS3" i="9"/>
  <c r="BT3" i="9"/>
  <c r="BU3" i="9"/>
  <c r="BV3" i="9"/>
  <c r="BW3" i="9"/>
  <c r="BX3" i="9"/>
  <c r="BY3" i="9"/>
  <c r="BZ3" i="9"/>
  <c r="CA3" i="9"/>
  <c r="CB3" i="9"/>
  <c r="CC3" i="9"/>
  <c r="CD3" i="9"/>
  <c r="CE3" i="9"/>
  <c r="CF3" i="9"/>
  <c r="CG3" i="9"/>
  <c r="CH3" i="9"/>
  <c r="CI3" i="9"/>
  <c r="CJ3" i="9"/>
  <c r="CK3" i="9"/>
  <c r="CL3" i="9"/>
  <c r="CM3" i="9"/>
  <c r="CN3" i="9"/>
  <c r="CO3" i="9"/>
  <c r="CP3" i="9"/>
  <c r="CQ3" i="9"/>
  <c r="CR3" i="9"/>
  <c r="CS3" i="9"/>
  <c r="CT3" i="9"/>
  <c r="CU3" i="9"/>
  <c r="CV3" i="9"/>
  <c r="CW3" i="9"/>
  <c r="CX3" i="9"/>
  <c r="CY3" i="9"/>
  <c r="CZ3" i="9"/>
  <c r="DA3" i="9"/>
  <c r="DB3" i="9"/>
  <c r="DC3" i="9"/>
  <c r="DD3" i="9"/>
  <c r="DE3" i="9"/>
  <c r="DF3" i="9"/>
  <c r="DG3" i="9"/>
  <c r="DH3" i="9"/>
  <c r="DI3" i="9"/>
  <c r="DJ3" i="9"/>
  <c r="DK3" i="9"/>
  <c r="DL3" i="9"/>
  <c r="DM3" i="9"/>
  <c r="DN3" i="9"/>
  <c r="DO3" i="9"/>
  <c r="DP3" i="9"/>
  <c r="DQ3" i="9"/>
  <c r="DR3" i="9"/>
  <c r="DS3" i="9"/>
  <c r="DT3" i="9"/>
  <c r="DU3" i="9"/>
  <c r="DV3" i="9"/>
  <c r="DW3" i="9"/>
  <c r="DX3" i="9"/>
  <c r="DY3" i="9"/>
  <c r="DZ3" i="9"/>
  <c r="EA3" i="9"/>
  <c r="EB3" i="9"/>
  <c r="EC3" i="9"/>
  <c r="ED3" i="9"/>
  <c r="EE3" i="9"/>
  <c r="EF3" i="9"/>
  <c r="EG3" i="9"/>
  <c r="EH3" i="9"/>
  <c r="EI3" i="9"/>
  <c r="EJ3" i="9"/>
  <c r="EK3" i="9"/>
  <c r="EL3" i="9"/>
  <c r="EM3" i="9"/>
  <c r="EN3" i="9"/>
  <c r="EO3" i="9"/>
  <c r="EP3" i="9"/>
  <c r="EQ3" i="9"/>
  <c r="ER3" i="9"/>
  <c r="ES3" i="9"/>
  <c r="ET3" i="9"/>
  <c r="EU3" i="9"/>
  <c r="EV3" i="9"/>
  <c r="EW3" i="9"/>
  <c r="EX3" i="9"/>
  <c r="EY3" i="9"/>
  <c r="EZ3" i="9"/>
  <c r="FA3" i="9"/>
  <c r="FB3" i="9"/>
  <c r="FC3" i="9"/>
  <c r="FD3" i="9"/>
  <c r="FE3" i="9"/>
  <c r="FF3" i="9"/>
  <c r="FG3" i="9"/>
  <c r="FH3" i="9"/>
  <c r="FI3" i="9"/>
  <c r="FJ3" i="9"/>
  <c r="FK3" i="9"/>
  <c r="FL3" i="9"/>
  <c r="FM3" i="9"/>
  <c r="FN3" i="9"/>
  <c r="FO3" i="9"/>
  <c r="FP3" i="9"/>
  <c r="FQ3" i="9"/>
  <c r="FR3" i="9"/>
  <c r="FS3" i="9"/>
  <c r="FT3" i="9"/>
  <c r="FU3" i="9"/>
  <c r="FV3" i="9"/>
  <c r="FW3" i="9"/>
  <c r="FX3" i="9"/>
  <c r="FY3" i="9"/>
  <c r="FZ3" i="9"/>
  <c r="GA3" i="9"/>
  <c r="GB3" i="9"/>
  <c r="GC3" i="9"/>
  <c r="GD3" i="9"/>
  <c r="GE3" i="9"/>
  <c r="GF3" i="9"/>
  <c r="GG3" i="9"/>
  <c r="GH3" i="9"/>
  <c r="GI3" i="9"/>
  <c r="GJ3" i="9"/>
  <c r="GK3" i="9"/>
  <c r="GL3" i="9"/>
  <c r="GM3" i="9"/>
  <c r="GN3" i="9"/>
  <c r="GO3" i="9"/>
  <c r="GP3" i="9"/>
  <c r="GQ3" i="9"/>
  <c r="GR3" i="9"/>
  <c r="GS3" i="9"/>
  <c r="GT3" i="9"/>
  <c r="GU3" i="9"/>
  <c r="GV3" i="9"/>
  <c r="GW3" i="9"/>
  <c r="GX3" i="9"/>
  <c r="GY3" i="9"/>
  <c r="GZ3" i="9"/>
  <c r="HA3" i="9"/>
  <c r="HB3" i="9"/>
  <c r="HC3" i="9"/>
  <c r="HD3" i="9"/>
  <c r="HE3" i="9"/>
  <c r="HF3" i="9"/>
  <c r="HG3" i="9"/>
  <c r="HH3" i="9"/>
  <c r="HI3" i="9"/>
  <c r="HJ3" i="9"/>
  <c r="HK3" i="9"/>
  <c r="HL3" i="9"/>
  <c r="HM3" i="9"/>
  <c r="HN3" i="9"/>
  <c r="HO3" i="9"/>
  <c r="HP3" i="9"/>
  <c r="HQ3" i="9"/>
  <c r="HR3" i="9"/>
  <c r="HS3" i="9"/>
  <c r="HT3" i="9"/>
  <c r="HU3" i="9"/>
  <c r="HV3" i="9"/>
  <c r="HW3" i="9"/>
  <c r="HX3" i="9"/>
  <c r="HY3" i="9"/>
  <c r="HZ3" i="9"/>
  <c r="IA3" i="9"/>
  <c r="IB3" i="9"/>
  <c r="IC3" i="9"/>
  <c r="ID3" i="9"/>
  <c r="IE3" i="9"/>
  <c r="IF3" i="9"/>
  <c r="IG3" i="9"/>
  <c r="IH3" i="9"/>
  <c r="II3" i="9"/>
  <c r="IJ3" i="9"/>
  <c r="IK3" i="9"/>
  <c r="IL3" i="9"/>
  <c r="IM3" i="9"/>
  <c r="IN3" i="9"/>
  <c r="IO3" i="9"/>
  <c r="IP3" i="9"/>
  <c r="IQ3" i="9"/>
  <c r="IR3" i="9"/>
  <c r="IS3" i="9"/>
  <c r="IT3" i="9"/>
  <c r="IU3" i="9"/>
  <c r="IV3" i="9"/>
  <c r="A2" i="9"/>
  <c r="B2" i="9"/>
  <c r="C2" i="9"/>
  <c r="D2" i="9"/>
  <c r="E2" i="9"/>
  <c r="F2" i="9"/>
  <c r="G2" i="9"/>
  <c r="H2" i="9"/>
  <c r="I2" i="9"/>
  <c r="J2" i="9"/>
  <c r="K2" i="9"/>
  <c r="L2" i="9"/>
  <c r="M2" i="9"/>
  <c r="N2" i="9"/>
  <c r="O2" i="9"/>
  <c r="P2" i="9"/>
  <c r="Q2" i="9"/>
  <c r="R2" i="9"/>
  <c r="S2" i="9"/>
  <c r="T2" i="9"/>
  <c r="U2" i="9"/>
  <c r="V2" i="9"/>
  <c r="W2" i="9"/>
  <c r="X2" i="9"/>
  <c r="Y2" i="9"/>
  <c r="Z2" i="9"/>
  <c r="AA2" i="9"/>
  <c r="AB2" i="9"/>
  <c r="AC2" i="9"/>
  <c r="AD2" i="9"/>
  <c r="AE2" i="9"/>
  <c r="AF2" i="9"/>
  <c r="AG2" i="9"/>
  <c r="AH2" i="9"/>
  <c r="AI2" i="9"/>
  <c r="AJ2" i="9"/>
  <c r="AK2" i="9"/>
  <c r="AL2" i="9"/>
  <c r="AM2" i="9"/>
  <c r="AN2" i="9"/>
  <c r="AO2" i="9"/>
  <c r="AP2" i="9"/>
  <c r="AQ2" i="9"/>
  <c r="AR2" i="9"/>
  <c r="AS2" i="9"/>
  <c r="AT2" i="9"/>
  <c r="AU2" i="9"/>
  <c r="AV2" i="9"/>
  <c r="AW2" i="9"/>
  <c r="AX2" i="9"/>
  <c r="AY2" i="9"/>
  <c r="AZ2" i="9"/>
  <c r="BA2" i="9"/>
  <c r="BB2" i="9"/>
  <c r="BC2" i="9"/>
  <c r="BD2" i="9"/>
  <c r="BE2" i="9"/>
  <c r="BF2" i="9"/>
  <c r="BG2" i="9"/>
  <c r="BH2" i="9"/>
  <c r="BI2" i="9"/>
  <c r="BJ2" i="9"/>
  <c r="BK2" i="9"/>
  <c r="BL2" i="9"/>
  <c r="BM2" i="9"/>
  <c r="BN2" i="9"/>
  <c r="BO2" i="9"/>
  <c r="BP2" i="9"/>
  <c r="BQ2" i="9"/>
  <c r="BR2" i="9"/>
  <c r="BS2" i="9"/>
  <c r="BT2" i="9"/>
  <c r="BU2" i="9"/>
  <c r="BV2" i="9"/>
  <c r="BW2" i="9"/>
  <c r="BX2" i="9"/>
  <c r="BY2" i="9"/>
  <c r="BZ2" i="9"/>
  <c r="CA2" i="9"/>
  <c r="CB2" i="9"/>
  <c r="CC2" i="9"/>
  <c r="CD2" i="9"/>
  <c r="CE2" i="9"/>
  <c r="CF2" i="9"/>
  <c r="CG2" i="9"/>
  <c r="CH2" i="9"/>
  <c r="CI2" i="9"/>
  <c r="CJ2" i="9"/>
  <c r="CK2" i="9"/>
  <c r="CL2" i="9"/>
  <c r="CM2" i="9"/>
  <c r="CN2" i="9"/>
  <c r="CO2" i="9"/>
  <c r="CP2" i="9"/>
  <c r="CQ2" i="9"/>
  <c r="CR2" i="9"/>
  <c r="CS2" i="9"/>
  <c r="CT2" i="9"/>
  <c r="CU2" i="9"/>
  <c r="CV2" i="9"/>
  <c r="CW2" i="9"/>
  <c r="CX2" i="9"/>
  <c r="CY2" i="9"/>
  <c r="CZ2" i="9"/>
  <c r="DA2" i="9"/>
  <c r="DB2" i="9"/>
  <c r="DC2" i="9"/>
  <c r="DD2" i="9"/>
  <c r="DE2" i="9"/>
  <c r="DF2" i="9"/>
  <c r="DG2" i="9"/>
  <c r="DH2" i="9"/>
  <c r="DI2" i="9"/>
  <c r="DJ2" i="9"/>
  <c r="DK2" i="9"/>
  <c r="DL2" i="9"/>
  <c r="DM2" i="9"/>
  <c r="DN2" i="9"/>
  <c r="DO2" i="9"/>
  <c r="DP2" i="9"/>
  <c r="DQ2" i="9"/>
  <c r="DR2" i="9"/>
  <c r="DS2" i="9"/>
  <c r="DT2" i="9"/>
  <c r="DU2" i="9"/>
  <c r="DV2" i="9"/>
  <c r="DW2" i="9"/>
  <c r="DX2" i="9"/>
  <c r="DY2" i="9"/>
  <c r="DZ2" i="9"/>
  <c r="EA2" i="9"/>
  <c r="EB2" i="9"/>
  <c r="EC2" i="9"/>
  <c r="ED2" i="9"/>
  <c r="EE2" i="9"/>
  <c r="EF2" i="9"/>
  <c r="EG2" i="9"/>
  <c r="EH2" i="9"/>
  <c r="EI2" i="9"/>
  <c r="EJ2" i="9"/>
  <c r="EK2" i="9"/>
  <c r="EL2" i="9"/>
  <c r="EM2" i="9"/>
  <c r="EN2" i="9"/>
  <c r="EO2" i="9"/>
  <c r="EP2" i="9"/>
  <c r="EQ2" i="9"/>
  <c r="ER2" i="9"/>
  <c r="ES2" i="9"/>
  <c r="ET2" i="9"/>
  <c r="EU2" i="9"/>
  <c r="EV2" i="9"/>
  <c r="EW2" i="9"/>
  <c r="EX2" i="9"/>
  <c r="EY2" i="9"/>
  <c r="EZ2" i="9"/>
  <c r="FA2" i="9"/>
  <c r="FB2" i="9"/>
  <c r="FC2" i="9"/>
  <c r="FD2" i="9"/>
  <c r="FE2" i="9"/>
  <c r="FF2" i="9"/>
  <c r="FG2" i="9"/>
  <c r="FH2" i="9"/>
  <c r="FI2" i="9"/>
  <c r="FJ2" i="9"/>
  <c r="FK2" i="9"/>
  <c r="FL2" i="9"/>
  <c r="FM2" i="9"/>
  <c r="FN2" i="9"/>
  <c r="FO2" i="9"/>
  <c r="FP2" i="9"/>
  <c r="FQ2" i="9"/>
  <c r="FR2" i="9"/>
  <c r="FS2" i="9"/>
  <c r="FT2" i="9"/>
  <c r="FU2" i="9"/>
  <c r="FV2" i="9"/>
  <c r="FW2" i="9"/>
  <c r="FX2" i="9"/>
  <c r="FY2" i="9"/>
  <c r="FZ2" i="9"/>
  <c r="GA2" i="9"/>
  <c r="GB2" i="9"/>
  <c r="GC2" i="9"/>
  <c r="GD2" i="9"/>
  <c r="GE2" i="9"/>
  <c r="GF2" i="9"/>
  <c r="GG2" i="9"/>
  <c r="GH2" i="9"/>
  <c r="GI2" i="9"/>
  <c r="GJ2" i="9"/>
  <c r="GK2" i="9"/>
  <c r="GL2" i="9"/>
  <c r="GM2" i="9"/>
  <c r="GN2" i="9"/>
  <c r="GO2" i="9"/>
  <c r="GP2" i="9"/>
  <c r="GQ2" i="9"/>
  <c r="GR2" i="9"/>
  <c r="GS2" i="9"/>
  <c r="GT2" i="9"/>
  <c r="GU2" i="9"/>
  <c r="GV2" i="9"/>
  <c r="GW2" i="9"/>
  <c r="GX2" i="9"/>
  <c r="GY2" i="9"/>
  <c r="GZ2" i="9"/>
  <c r="HA2" i="9"/>
  <c r="HB2" i="9"/>
  <c r="HC2" i="9"/>
  <c r="HD2" i="9"/>
  <c r="HE2" i="9"/>
  <c r="HF2" i="9"/>
  <c r="HG2" i="9"/>
  <c r="HH2" i="9"/>
  <c r="HI2" i="9"/>
  <c r="HJ2" i="9"/>
  <c r="HK2" i="9"/>
  <c r="HL2" i="9"/>
  <c r="HM2" i="9"/>
  <c r="HN2" i="9"/>
  <c r="HO2" i="9"/>
  <c r="HP2" i="9"/>
  <c r="HQ2" i="9"/>
  <c r="HR2" i="9"/>
  <c r="HS2" i="9"/>
  <c r="HT2" i="9"/>
  <c r="HU2" i="9"/>
  <c r="HV2" i="9"/>
  <c r="HW2" i="9"/>
  <c r="HX2" i="9"/>
  <c r="HY2" i="9"/>
  <c r="HZ2" i="9"/>
  <c r="IA2" i="9"/>
  <c r="IB2" i="9"/>
  <c r="IC2" i="9"/>
  <c r="ID2" i="9"/>
  <c r="IE2" i="9"/>
  <c r="IF2" i="9"/>
  <c r="IG2" i="9"/>
  <c r="IH2" i="9"/>
  <c r="II2" i="9"/>
  <c r="IJ2" i="9"/>
  <c r="IK2" i="9"/>
  <c r="IL2" i="9"/>
  <c r="IM2" i="9"/>
  <c r="IN2" i="9"/>
  <c r="IO2" i="9"/>
  <c r="IP2" i="9"/>
  <c r="IQ2" i="9"/>
  <c r="IR2" i="9"/>
  <c r="IS2" i="9"/>
  <c r="IT2" i="9"/>
  <c r="IU2" i="9"/>
  <c r="IV2" i="9"/>
  <c r="A1" i="9"/>
  <c r="B1" i="9"/>
  <c r="C1" i="9"/>
  <c r="D1" i="9"/>
  <c r="E1" i="9"/>
  <c r="F1" i="9"/>
  <c r="G1" i="9"/>
  <c r="H1" i="9"/>
  <c r="I1" i="9"/>
  <c r="J1" i="9"/>
  <c r="K1" i="9"/>
  <c r="L1" i="9"/>
  <c r="M1" i="9"/>
  <c r="N1" i="9"/>
  <c r="O1" i="9"/>
  <c r="P1" i="9"/>
  <c r="Q1" i="9"/>
  <c r="R1" i="9"/>
  <c r="S1" i="9"/>
  <c r="T1" i="9"/>
  <c r="U1" i="9"/>
  <c r="V1" i="9"/>
  <c r="W1" i="9"/>
  <c r="X1" i="9"/>
  <c r="Y1" i="9"/>
  <c r="Z1" i="9"/>
  <c r="AA1" i="9"/>
  <c r="AB1" i="9"/>
  <c r="AC1" i="9"/>
  <c r="AD1" i="9"/>
  <c r="AE1" i="9"/>
  <c r="AF1" i="9"/>
  <c r="AG1" i="9"/>
  <c r="AH1" i="9"/>
  <c r="AI1" i="9"/>
  <c r="AJ1" i="9"/>
  <c r="AK1" i="9"/>
  <c r="AL1" i="9"/>
  <c r="AM1" i="9"/>
  <c r="AN1" i="9"/>
  <c r="AO1" i="9"/>
  <c r="AP1" i="9"/>
  <c r="AQ1" i="9"/>
  <c r="AR1" i="9"/>
  <c r="AS1" i="9"/>
  <c r="AT1" i="9"/>
  <c r="AU1" i="9"/>
  <c r="AV1" i="9"/>
  <c r="AW1" i="9"/>
  <c r="AX1" i="9"/>
  <c r="AY1" i="9"/>
  <c r="AZ1" i="9"/>
  <c r="BA1" i="9"/>
  <c r="BB1" i="9"/>
  <c r="BC1" i="9"/>
  <c r="BD1" i="9"/>
  <c r="BE1" i="9"/>
  <c r="BF1" i="9"/>
  <c r="BG1" i="9"/>
  <c r="BH1" i="9"/>
  <c r="BI1" i="9"/>
  <c r="BJ1" i="9"/>
  <c r="BK1" i="9"/>
  <c r="BL1" i="9"/>
  <c r="BM1" i="9"/>
  <c r="BN1" i="9"/>
  <c r="BO1" i="9"/>
  <c r="BP1" i="9"/>
  <c r="BQ1" i="9"/>
  <c r="BR1" i="9"/>
  <c r="BS1" i="9"/>
  <c r="BT1" i="9"/>
  <c r="BU1" i="9"/>
  <c r="BV1" i="9"/>
  <c r="BW1" i="9"/>
  <c r="BX1" i="9"/>
  <c r="BY1" i="9"/>
  <c r="BZ1" i="9"/>
  <c r="CA1" i="9"/>
  <c r="CB1" i="9"/>
  <c r="CC1" i="9"/>
  <c r="CD1" i="9"/>
  <c r="CE1" i="9"/>
  <c r="CF1" i="9"/>
  <c r="CG1" i="9"/>
  <c r="CH1" i="9"/>
  <c r="CI1" i="9"/>
  <c r="CJ1" i="9"/>
  <c r="CK1" i="9"/>
  <c r="CL1" i="9"/>
  <c r="CM1" i="9"/>
  <c r="CN1" i="9"/>
  <c r="CO1" i="9"/>
  <c r="CP1" i="9"/>
  <c r="CQ1" i="9"/>
  <c r="CR1" i="9"/>
  <c r="CS1" i="9"/>
  <c r="CT1" i="9"/>
  <c r="CU1" i="9"/>
  <c r="CV1" i="9"/>
  <c r="CW1" i="9"/>
  <c r="CX1" i="9"/>
  <c r="CY1" i="9"/>
  <c r="CZ1" i="9"/>
  <c r="DA1" i="9"/>
  <c r="DB1" i="9"/>
  <c r="DC1" i="9"/>
  <c r="DD1" i="9"/>
  <c r="DE1" i="9"/>
  <c r="DF1" i="9"/>
  <c r="DG1" i="9"/>
  <c r="DH1" i="9"/>
  <c r="DI1" i="9"/>
  <c r="DJ1" i="9"/>
  <c r="DK1" i="9"/>
  <c r="DL1" i="9"/>
  <c r="DM1" i="9"/>
  <c r="DN1" i="9"/>
  <c r="DO1" i="9"/>
  <c r="DP1" i="9"/>
  <c r="DQ1" i="9"/>
  <c r="DR1" i="9"/>
  <c r="DS1" i="9"/>
  <c r="DT1" i="9"/>
  <c r="DU1" i="9"/>
  <c r="DV1" i="9"/>
  <c r="DW1" i="9"/>
  <c r="DX1" i="9"/>
  <c r="DY1" i="9"/>
  <c r="DZ1" i="9"/>
  <c r="EA1" i="9"/>
  <c r="EB1" i="9"/>
  <c r="EC1" i="9"/>
  <c r="ED1" i="9"/>
  <c r="EE1" i="9"/>
  <c r="EF1" i="9"/>
  <c r="EG1" i="9"/>
  <c r="EH1" i="9"/>
  <c r="EI1" i="9"/>
  <c r="EJ1" i="9"/>
  <c r="EK1" i="9"/>
  <c r="EL1" i="9"/>
  <c r="EM1" i="9"/>
  <c r="EN1" i="9"/>
  <c r="EO1" i="9"/>
  <c r="EP1" i="9"/>
  <c r="EQ1" i="9"/>
  <c r="ER1" i="9"/>
  <c r="ES1" i="9"/>
  <c r="ET1" i="9"/>
  <c r="EU1" i="9"/>
  <c r="EV1" i="9"/>
  <c r="EW1" i="9"/>
  <c r="EX1" i="9"/>
  <c r="EY1" i="9"/>
  <c r="EZ1" i="9"/>
  <c r="FA1" i="9"/>
  <c r="FB1" i="9"/>
  <c r="FC1" i="9"/>
  <c r="FD1" i="9"/>
  <c r="FE1" i="9"/>
  <c r="FF1" i="9"/>
  <c r="FG1" i="9"/>
  <c r="FH1" i="9"/>
  <c r="FI1" i="9"/>
  <c r="FJ1" i="9"/>
  <c r="FK1" i="9"/>
  <c r="FL1" i="9"/>
  <c r="FM1" i="9"/>
  <c r="FN1" i="9"/>
  <c r="FO1" i="9"/>
  <c r="FP1" i="9"/>
  <c r="FQ1" i="9"/>
  <c r="FR1" i="9"/>
  <c r="FS1" i="9"/>
  <c r="FT1" i="9"/>
  <c r="FU1" i="9"/>
  <c r="FV1" i="9"/>
  <c r="FW1" i="9"/>
  <c r="FX1" i="9"/>
  <c r="FY1" i="9"/>
  <c r="FZ1" i="9"/>
  <c r="GA1" i="9"/>
  <c r="GB1" i="9"/>
  <c r="GC1" i="9"/>
  <c r="GD1" i="9"/>
  <c r="GE1" i="9"/>
  <c r="GF1" i="9"/>
  <c r="GG1" i="9"/>
  <c r="GH1" i="9"/>
  <c r="GI1" i="9"/>
  <c r="GJ1" i="9"/>
  <c r="GK1" i="9"/>
  <c r="GL1" i="9"/>
  <c r="GM1" i="9"/>
  <c r="GN1" i="9"/>
  <c r="GO1" i="9"/>
  <c r="GP1" i="9"/>
  <c r="GQ1" i="9"/>
  <c r="GR1" i="9"/>
  <c r="GS1" i="9"/>
  <c r="GT1" i="9"/>
  <c r="GU1" i="9"/>
  <c r="GV1" i="9"/>
  <c r="GW1" i="9"/>
  <c r="GX1" i="9"/>
  <c r="GY1" i="9"/>
  <c r="GZ1" i="9"/>
  <c r="HA1" i="9"/>
  <c r="HB1" i="9"/>
  <c r="HC1" i="9"/>
  <c r="HD1" i="9"/>
  <c r="HE1" i="9"/>
  <c r="HF1" i="9"/>
  <c r="HG1" i="9"/>
  <c r="HH1" i="9"/>
  <c r="HI1" i="9"/>
  <c r="HJ1" i="9"/>
  <c r="HK1" i="9"/>
  <c r="HL1" i="9"/>
  <c r="HM1" i="9"/>
  <c r="HN1" i="9"/>
  <c r="HO1" i="9"/>
  <c r="HP1" i="9"/>
  <c r="HQ1" i="9"/>
  <c r="HR1" i="9"/>
  <c r="HS1" i="9"/>
  <c r="HT1" i="9"/>
  <c r="HU1" i="9"/>
  <c r="HV1" i="9"/>
  <c r="HW1" i="9"/>
  <c r="HX1" i="9"/>
  <c r="HY1" i="9"/>
  <c r="HZ1" i="9"/>
  <c r="IA1" i="9"/>
  <c r="IB1" i="9"/>
  <c r="IC1" i="9"/>
  <c r="ID1" i="9"/>
  <c r="IE1" i="9"/>
  <c r="IF1" i="9"/>
  <c r="IG1" i="9"/>
  <c r="IH1" i="9"/>
  <c r="II1" i="9"/>
  <c r="IJ1" i="9"/>
  <c r="IK1" i="9"/>
  <c r="IL1" i="9"/>
  <c r="IM1" i="9"/>
  <c r="IN1" i="9"/>
  <c r="IO1" i="9"/>
  <c r="IP1" i="9"/>
  <c r="IQ1" i="9"/>
  <c r="IR1" i="9"/>
  <c r="IS1" i="9"/>
  <c r="IT1" i="9"/>
  <c r="IU1" i="9"/>
  <c r="IV1" i="9"/>
  <c r="FI33" i="9"/>
  <c r="FF34" i="9" l="1"/>
  <c r="BU28" i="9"/>
  <c r="DI28" i="9"/>
  <c r="BK34" i="9"/>
  <c r="D18" i="3"/>
  <c r="IR33" i="9" s="1"/>
  <c r="EX34" i="9"/>
  <c r="S34" i="9"/>
  <c r="FQ28" i="9"/>
  <c r="CO28" i="9"/>
  <c r="FE34" i="9"/>
  <c r="AM29" i="9"/>
  <c r="Q37" i="9"/>
  <c r="AD39" i="9"/>
  <c r="D35" i="9" l="1"/>
</calcChain>
</file>

<file path=xl/sharedStrings.xml><?xml version="1.0" encoding="utf-8"?>
<sst xmlns="http://schemas.openxmlformats.org/spreadsheetml/2006/main" count="78" uniqueCount="56">
  <si>
    <t>LOGO</t>
  </si>
  <si>
    <t>TOTAL DE ENTRADAS</t>
  </si>
  <si>
    <t>NOMBRE DEL PRODUCTO</t>
  </si>
  <si>
    <t>CANTIDAD (lts)</t>
  </si>
  <si>
    <t>TOTAL DE SALIDAS</t>
  </si>
  <si>
    <t>AAAAADT9nXI=</t>
  </si>
  <si>
    <t>AAAAADT9nXM=</t>
  </si>
  <si>
    <t>AAAAAG+96FM=</t>
  </si>
  <si>
    <t>AAAAAH737QA=</t>
  </si>
  <si>
    <t>AAAAAH+figA=</t>
  </si>
  <si>
    <t>AAAAAH1f1zE=</t>
  </si>
  <si>
    <t>AAAAAH/69wA=</t>
  </si>
  <si>
    <t>AAAAAHr3+0k=</t>
  </si>
  <si>
    <t>AAAAAGb/vQA=</t>
  </si>
  <si>
    <t>AAAAAHfavwA=</t>
  </si>
  <si>
    <t>AAAAAHdp3zQ=</t>
  </si>
  <si>
    <t>AAAAAD/P1eA=</t>
  </si>
  <si>
    <t>AAAAAFD37QA=</t>
  </si>
  <si>
    <t>AAAAAHP95bo=</t>
  </si>
  <si>
    <t>AAAAAH932AA=</t>
  </si>
  <si>
    <t>AAAAAHn9/Yo=</t>
  </si>
  <si>
    <t>AAAAAH/v3XU=</t>
  </si>
  <si>
    <t>AAAAAG3P+0c=</t>
  </si>
  <si>
    <t>AAAAAGr//i8=</t>
  </si>
  <si>
    <t>AAAAAF9Ydxs=</t>
  </si>
  <si>
    <t>AAAAAFl8/gE=</t>
  </si>
  <si>
    <t>AAAAAH9+swI=</t>
  </si>
  <si>
    <t>AAAAAFCj9gA=</t>
  </si>
  <si>
    <t>AAAAAH1/+9I=</t>
  </si>
  <si>
    <t>AAAAAHe/7vM=</t>
  </si>
  <si>
    <t>AAAAAH987wA=</t>
  </si>
  <si>
    <t>Revision</t>
  </si>
  <si>
    <t>Approval</t>
  </si>
  <si>
    <t>Code</t>
  </si>
  <si>
    <t>Address</t>
  </si>
  <si>
    <t>NOTE: When a new product is to be registered, it must be registered in the blank spaces at the bottom.</t>
  </si>
  <si>
    <t>DATE:</t>
  </si>
  <si>
    <t>PRODUCT NAME</t>
  </si>
  <si>
    <t>STOCK</t>
  </si>
  <si>
    <t>OUTPUTS</t>
  </si>
  <si>
    <t>Company Name</t>
  </si>
  <si>
    <t>Chemical Inventory</t>
  </si>
  <si>
    <t>For the delivery of this record, it is necessary to request the initial inventory of chemicals in the company, request from the Advisor</t>
  </si>
  <si>
    <t xml:space="preserve">
PRODUCT STOCK</t>
  </si>
  <si>
    <t>ENTRIES</t>
  </si>
  <si>
    <r>
      <t xml:space="preserve">Instructions: </t>
    </r>
    <r>
      <rPr>
        <sz val="11"/>
        <color theme="1"/>
        <rFont val="Arial"/>
        <family val="2"/>
      </rPr>
      <t>All entries and exits must be recorded in their respective tab, the stock tab is the inventory updated on the date it is reviewed.</t>
    </r>
    <r>
      <rPr>
        <b/>
        <sz val="11"/>
        <color theme="1"/>
        <rFont val="Arial"/>
        <family val="2"/>
      </rPr>
      <t xml:space="preserve">
Frequency: </t>
    </r>
    <r>
      <rPr>
        <sz val="11"/>
        <color theme="1"/>
        <rFont val="Arial"/>
        <family val="2"/>
      </rPr>
      <t>Any time you enter the inventory product is delivered</t>
    </r>
  </si>
  <si>
    <r>
      <rPr>
        <b/>
        <sz val="11"/>
        <color theme="1"/>
        <rFont val="Arial"/>
        <family val="2"/>
      </rPr>
      <t xml:space="preserve">Instructions: </t>
    </r>
    <r>
      <rPr>
        <sz val="11"/>
        <color theme="1"/>
        <rFont val="Arial"/>
        <family val="2"/>
      </rPr>
      <t xml:space="preserve">All entries and exits must be recorded in their respective tab, the stock tab is the inventory updated on the date it is reviewed.
</t>
    </r>
    <r>
      <rPr>
        <b/>
        <sz val="11"/>
        <color theme="1"/>
        <rFont val="Arial"/>
        <family val="2"/>
      </rPr>
      <t>Frequency:</t>
    </r>
    <r>
      <rPr>
        <sz val="11"/>
        <color theme="1"/>
        <rFont val="Arial"/>
        <family val="2"/>
      </rPr>
      <t xml:space="preserve"> Any time you enter the inventory product is delivered</t>
    </r>
  </si>
  <si>
    <t>CHEMICALS OUTPUT</t>
  </si>
  <si>
    <t>CHEMICALS INPUT</t>
  </si>
  <si>
    <r>
      <rPr>
        <b/>
        <sz val="11"/>
        <color theme="1"/>
        <rFont val="Arial"/>
        <family val="2"/>
      </rPr>
      <t>Instructions:</t>
    </r>
    <r>
      <rPr>
        <sz val="11"/>
        <color theme="1"/>
        <rFont val="Arial"/>
        <family val="2"/>
      </rPr>
      <t xml:space="preserve"> All entries and exits must be recorded in their respective tab, the stock tab is the inventory updated on the date it is reviewed.
</t>
    </r>
    <r>
      <rPr>
        <b/>
        <sz val="11"/>
        <color theme="1"/>
        <rFont val="Arial"/>
        <family val="2"/>
      </rPr>
      <t xml:space="preserve">Frequency: </t>
    </r>
    <r>
      <rPr>
        <sz val="11"/>
        <color theme="1"/>
        <rFont val="Arial"/>
        <family val="2"/>
      </rPr>
      <t>Any time you enter the inventory product is delivered</t>
    </r>
  </si>
  <si>
    <t>DATE</t>
  </si>
  <si>
    <t>QUANTITY</t>
  </si>
  <si>
    <t>MEASUREMENT UNITS (i.e. Pieces, liters, kilograms, boxes)</t>
  </si>
  <si>
    <t>REQUESTED BY</t>
  </si>
  <si>
    <t>AREA</t>
  </si>
  <si>
    <t>SUPPLIER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</si>
</sst>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4" fillId="0" borderId="0" xfId="0" applyFont="1"/>
    <xf numFmtId="0" fontId="3" fillId="0" borderId="25" xfId="0" applyFont="1" applyBorder="1" applyAlignment="1"/>
    <xf numFmtId="0" fontId="3" fillId="0" borderId="2" xfId="0" applyFont="1" applyBorder="1" applyAlignment="1"/>
    <xf numFmtId="165" fontId="3" fillId="0" borderId="29" xfId="0" applyNumberFormat="1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6" fillId="0" borderId="14" xfId="0" applyNumberFormat="1" applyFont="1" applyFill="1" applyBorder="1" applyAlignment="1">
      <alignment horizontal="center"/>
    </xf>
    <xf numFmtId="0" fontId="6" fillId="0" borderId="14" xfId="0" applyFont="1" applyFill="1" applyBorder="1"/>
    <xf numFmtId="3" fontId="6" fillId="0" borderId="14" xfId="0" applyNumberFormat="1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3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7" fillId="0" borderId="0" xfId="0" applyFont="1" applyAlignment="1"/>
    <xf numFmtId="0" fontId="3" fillId="0" borderId="1" xfId="0" applyFont="1" applyBorder="1" applyAlignment="1">
      <alignment horizontal="left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 vertical="center"/>
    </xf>
    <xf numFmtId="165" fontId="3" fillId="0" borderId="33" xfId="0" applyNumberFormat="1" applyFont="1" applyBorder="1" applyAlignment="1">
      <alignment vertical="center" wrapText="1"/>
    </xf>
    <xf numFmtId="3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0" xfId="0" applyFont="1" applyBorder="1" applyAlignment="1"/>
    <xf numFmtId="165" fontId="3" fillId="0" borderId="0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4" fontId="3" fillId="0" borderId="14" xfId="0" applyNumberFormat="1" applyFont="1" applyFill="1" applyBorder="1" applyAlignment="1">
      <alignment horizontal="center"/>
    </xf>
    <xf numFmtId="0" fontId="3" fillId="0" borderId="14" xfId="0" applyFont="1" applyFill="1" applyBorder="1"/>
    <xf numFmtId="3" fontId="5" fillId="0" borderId="14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/>
    <xf numFmtId="0" fontId="3" fillId="0" borderId="0" xfId="0" applyFont="1" applyFill="1"/>
    <xf numFmtId="1" fontId="5" fillId="0" borderId="1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7" fillId="0" borderId="10" xfId="0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3" fillId="0" borderId="14" xfId="0" applyNumberFormat="1" applyFont="1" applyFill="1" applyBorder="1" applyAlignment="1">
      <alignment horizontal="center"/>
    </xf>
    <xf numFmtId="3" fontId="3" fillId="0" borderId="15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7" xfId="0" applyFont="1" applyBorder="1" applyAlignment="1"/>
    <xf numFmtId="0" fontId="3" fillId="0" borderId="3" xfId="0" applyFont="1" applyBorder="1" applyAlignment="1"/>
    <xf numFmtId="165" fontId="3" fillId="0" borderId="30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3" borderId="0" xfId="0" applyFont="1" applyFill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5" fontId="3" fillId="0" borderId="27" xfId="0" applyNumberFormat="1" applyFont="1" applyBorder="1" applyAlignment="1">
      <alignment horizontal="center" vertical="center" wrapText="1"/>
    </xf>
    <xf numFmtId="165" fontId="3" fillId="0" borderId="28" xfId="0" applyNumberFormat="1" applyFont="1" applyBorder="1" applyAlignment="1">
      <alignment horizontal="center" vertical="center" wrapText="1"/>
    </xf>
    <xf numFmtId="165" fontId="3" fillId="0" borderId="29" xfId="0" applyNumberFormat="1" applyFont="1" applyBorder="1" applyAlignment="1">
      <alignment horizontal="center" vertical="center" wrapText="1"/>
    </xf>
    <xf numFmtId="165" fontId="3" fillId="0" borderId="3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165" fontId="3" fillId="0" borderId="22" xfId="0" applyNumberFormat="1" applyFont="1" applyBorder="1" applyAlignment="1">
      <alignment horizontal="center" vertical="center" wrapText="1"/>
    </xf>
    <xf numFmtId="165" fontId="3" fillId="0" borderId="2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O3005"/>
  <sheetViews>
    <sheetView showGridLines="0" zoomScale="90" zoomScaleNormal="90" workbookViewId="0">
      <selection activeCell="F12" sqref="F12"/>
    </sheetView>
  </sheetViews>
  <sheetFormatPr baseColWidth="10" defaultColWidth="11.5" defaultRowHeight="14" x14ac:dyDescent="0.15"/>
  <cols>
    <col min="1" max="1" width="7.5" style="5" customWidth="1"/>
    <col min="2" max="2" width="10.83203125" style="5" customWidth="1"/>
    <col min="3" max="3" width="11.5" style="7"/>
    <col min="4" max="4" width="28.33203125" style="8" bestFit="1" customWidth="1"/>
    <col min="5" max="5" width="12.5" style="9" customWidth="1"/>
    <col min="6" max="6" width="21.5" style="9" customWidth="1"/>
    <col min="7" max="7" width="24.5" style="9" customWidth="1"/>
    <col min="8" max="8" width="16.5" style="5" customWidth="1"/>
    <col min="9" max="9" width="11.5" style="5" customWidth="1"/>
    <col min="10" max="10" width="25" style="5" hidden="1" customWidth="1"/>
    <col min="11" max="11" width="14.33203125" style="5" hidden="1" customWidth="1"/>
    <col min="12" max="12" width="6.6640625" style="32" customWidth="1"/>
    <col min="13" max="13" width="6.83203125" style="32" customWidth="1"/>
    <col min="14" max="15" width="11.5" style="32"/>
    <col min="16" max="16384" width="11.5" style="5"/>
  </cols>
  <sheetData>
    <row r="1" spans="1:15" x14ac:dyDescent="0.15">
      <c r="C1" s="28"/>
      <c r="D1" s="99"/>
      <c r="E1" s="99"/>
      <c r="F1" s="99"/>
      <c r="G1" s="99"/>
    </row>
    <row r="2" spans="1:15" ht="15" thickBot="1" x14ac:dyDescent="0.2">
      <c r="B2" s="28"/>
      <c r="C2" s="80"/>
      <c r="D2" s="80"/>
      <c r="E2" s="80"/>
      <c r="F2" s="5"/>
      <c r="G2" s="5"/>
    </row>
    <row r="3" spans="1:15" s="1" customFormat="1" ht="15" customHeight="1" x14ac:dyDescent="0.15">
      <c r="A3" s="86" t="s">
        <v>0</v>
      </c>
      <c r="B3" s="87"/>
      <c r="C3" s="92" t="s">
        <v>40</v>
      </c>
      <c r="D3" s="92"/>
      <c r="E3" s="92"/>
      <c r="F3" s="92"/>
      <c r="G3" s="94" t="s">
        <v>31</v>
      </c>
      <c r="H3" s="94"/>
      <c r="I3" s="94">
        <f>+INPUT!H3</f>
        <v>0</v>
      </c>
      <c r="J3" s="97"/>
      <c r="K3" s="2"/>
      <c r="L3" s="38"/>
      <c r="M3" s="30"/>
      <c r="N3" s="30"/>
      <c r="O3" s="33"/>
    </row>
    <row r="4" spans="1:15" s="1" customFormat="1" ht="15" customHeight="1" x14ac:dyDescent="0.15">
      <c r="A4" s="88"/>
      <c r="B4" s="89"/>
      <c r="C4" s="93"/>
      <c r="D4" s="93"/>
      <c r="E4" s="93"/>
      <c r="F4" s="93"/>
      <c r="G4" s="98" t="s">
        <v>32</v>
      </c>
      <c r="H4" s="98"/>
      <c r="I4" s="98">
        <f>+INPUT!H4</f>
        <v>0</v>
      </c>
      <c r="J4" s="104"/>
      <c r="K4" s="3"/>
      <c r="L4" s="38"/>
      <c r="M4" s="30"/>
      <c r="N4" s="30"/>
      <c r="O4" s="33"/>
    </row>
    <row r="5" spans="1:15" s="1" customFormat="1" ht="15" customHeight="1" x14ac:dyDescent="0.15">
      <c r="A5" s="88"/>
      <c r="B5" s="89"/>
      <c r="C5" s="93" t="s">
        <v>34</v>
      </c>
      <c r="D5" s="93"/>
      <c r="E5" s="93"/>
      <c r="F5" s="93"/>
      <c r="G5" s="95" t="s">
        <v>33</v>
      </c>
      <c r="H5" s="95"/>
      <c r="I5" s="95">
        <f>+INPUT!H5</f>
        <v>0</v>
      </c>
      <c r="J5" s="105"/>
      <c r="K5" s="35"/>
      <c r="L5" s="39"/>
      <c r="M5" s="31"/>
      <c r="N5" s="31"/>
      <c r="O5" s="33"/>
    </row>
    <row r="6" spans="1:15" s="1" customFormat="1" ht="24.75" customHeight="1" thickBot="1" x14ac:dyDescent="0.2">
      <c r="A6" s="90"/>
      <c r="B6" s="91"/>
      <c r="C6" s="91" t="s">
        <v>41</v>
      </c>
      <c r="D6" s="91"/>
      <c r="E6" s="91"/>
      <c r="F6" s="91"/>
      <c r="G6" s="96"/>
      <c r="H6" s="96"/>
      <c r="I6" s="96"/>
      <c r="J6" s="106"/>
      <c r="K6" s="4"/>
      <c r="L6" s="39"/>
      <c r="M6" s="31"/>
      <c r="N6" s="31"/>
      <c r="O6" s="33"/>
    </row>
    <row r="7" spans="1:15" ht="14.25" customHeight="1" x14ac:dyDescent="0.15">
      <c r="A7" s="107" t="s">
        <v>49</v>
      </c>
      <c r="B7" s="107"/>
      <c r="C7" s="107"/>
      <c r="D7" s="107"/>
      <c r="E7" s="107"/>
      <c r="F7" s="107"/>
      <c r="G7" s="107"/>
      <c r="H7" s="107"/>
      <c r="I7" s="107"/>
      <c r="J7" s="40"/>
      <c r="K7" s="40"/>
      <c r="L7" s="40"/>
      <c r="M7" s="40"/>
    </row>
    <row r="8" spans="1:15" ht="38.25" customHeight="1" x14ac:dyDescent="0.15">
      <c r="A8" s="108"/>
      <c r="B8" s="108"/>
      <c r="C8" s="108"/>
      <c r="D8" s="108"/>
      <c r="E8" s="108"/>
      <c r="F8" s="108"/>
      <c r="G8" s="108"/>
      <c r="H8" s="108"/>
      <c r="I8" s="108"/>
      <c r="J8" s="40"/>
      <c r="K8" s="40"/>
      <c r="L8" s="40"/>
      <c r="M8" s="40"/>
    </row>
    <row r="9" spans="1:15" x14ac:dyDescent="0.15">
      <c r="C9" s="6"/>
      <c r="D9" s="103"/>
      <c r="E9" s="103"/>
      <c r="F9" s="103"/>
      <c r="G9" s="103"/>
    </row>
    <row r="10" spans="1:15" ht="15" thickBot="1" x14ac:dyDescent="0.2">
      <c r="C10" s="81"/>
    </row>
    <row r="11" spans="1:15" s="75" customFormat="1" ht="23.25" customHeight="1" x14ac:dyDescent="0.2">
      <c r="C11" s="100" t="s">
        <v>48</v>
      </c>
      <c r="D11" s="101"/>
      <c r="E11" s="101"/>
      <c r="F11" s="101"/>
      <c r="G11" s="101"/>
      <c r="H11" s="102"/>
      <c r="J11" s="109" t="s">
        <v>1</v>
      </c>
      <c r="K11" s="110"/>
      <c r="L11" s="76"/>
      <c r="M11" s="76"/>
      <c r="N11" s="76"/>
      <c r="O11" s="76"/>
    </row>
    <row r="12" spans="1:15" s="15" customFormat="1" ht="43.5" customHeight="1" thickBot="1" x14ac:dyDescent="0.25">
      <c r="C12" s="10" t="s">
        <v>50</v>
      </c>
      <c r="D12" s="11" t="s">
        <v>37</v>
      </c>
      <c r="E12" s="12" t="s">
        <v>51</v>
      </c>
      <c r="F12" s="13" t="s">
        <v>52</v>
      </c>
      <c r="G12" s="12" t="s">
        <v>55</v>
      </c>
      <c r="H12" s="14" t="s">
        <v>54</v>
      </c>
      <c r="J12" s="77" t="s">
        <v>2</v>
      </c>
      <c r="K12" s="78" t="s">
        <v>3</v>
      </c>
      <c r="L12" s="34"/>
      <c r="M12" s="34"/>
      <c r="N12" s="34"/>
      <c r="O12" s="34"/>
    </row>
    <row r="13" spans="1:15" x14ac:dyDescent="0.15">
      <c r="C13" s="16"/>
      <c r="D13" s="17"/>
      <c r="E13" s="18"/>
      <c r="F13" s="18"/>
      <c r="G13" s="19"/>
      <c r="H13" s="17"/>
      <c r="J13" s="29">
        <f>STOCK!C13</f>
        <v>0</v>
      </c>
      <c r="K13" s="36">
        <f>SUMIFS(E10:E2510,D10:D2510,J13)</f>
        <v>0</v>
      </c>
    </row>
    <row r="14" spans="1:15" x14ac:dyDescent="0.15">
      <c r="C14" s="21"/>
      <c r="D14" s="22"/>
      <c r="E14" s="23"/>
      <c r="F14" s="23"/>
      <c r="G14" s="23"/>
      <c r="H14" s="22"/>
      <c r="J14" s="29">
        <f>STOCK!C14</f>
        <v>0</v>
      </c>
      <c r="K14" s="36">
        <f>SUMIFS(E10:E2510,D10:D2510,J14)</f>
        <v>0</v>
      </c>
    </row>
    <row r="15" spans="1:15" x14ac:dyDescent="0.15">
      <c r="C15" s="21"/>
      <c r="D15" s="22"/>
      <c r="E15" s="23"/>
      <c r="F15" s="23"/>
      <c r="G15" s="23"/>
      <c r="H15" s="22"/>
      <c r="J15" s="29">
        <f>STOCK!C15</f>
        <v>0</v>
      </c>
      <c r="K15" s="36">
        <f>SUMIFS(E10:E2510,D10:D2510,J15)</f>
        <v>0</v>
      </c>
    </row>
    <row r="16" spans="1:15" x14ac:dyDescent="0.15">
      <c r="C16" s="21"/>
      <c r="D16" s="22"/>
      <c r="E16" s="23"/>
      <c r="F16" s="23"/>
      <c r="G16" s="23"/>
      <c r="H16" s="22"/>
      <c r="J16" s="29">
        <f>STOCK!C16</f>
        <v>0</v>
      </c>
      <c r="K16" s="36">
        <f>SUMIFS(E10:E2510,D10:D2510,J16)</f>
        <v>0</v>
      </c>
    </row>
    <row r="17" spans="3:11" x14ac:dyDescent="0.15">
      <c r="C17" s="21"/>
      <c r="D17" s="22"/>
      <c r="E17" s="23"/>
      <c r="F17" s="23"/>
      <c r="G17" s="24"/>
      <c r="H17" s="22"/>
      <c r="J17" s="29">
        <f>STOCK!C17</f>
        <v>0</v>
      </c>
      <c r="K17" s="36">
        <f>SUMIFS(E10:E2510,D10:D2510,J17)</f>
        <v>0</v>
      </c>
    </row>
    <row r="18" spans="3:11" x14ac:dyDescent="0.15">
      <c r="C18" s="21"/>
      <c r="D18" s="22"/>
      <c r="E18" s="23"/>
      <c r="F18" s="23"/>
      <c r="G18" s="23"/>
      <c r="H18" s="22"/>
      <c r="J18" s="29">
        <f>STOCK!C18</f>
        <v>0</v>
      </c>
      <c r="K18" s="36">
        <f>SUMIFS(E10:E2510,D10:D2510,J18)</f>
        <v>0</v>
      </c>
    </row>
    <row r="19" spans="3:11" x14ac:dyDescent="0.15">
      <c r="C19" s="21"/>
      <c r="D19" s="22"/>
      <c r="E19" s="23"/>
      <c r="F19" s="23"/>
      <c r="G19" s="23"/>
      <c r="H19" s="22"/>
      <c r="J19" s="29">
        <f>STOCK!C19</f>
        <v>0</v>
      </c>
      <c r="K19" s="36">
        <f>SUMIFS(E10:E2510,D10:D2510,J19)</f>
        <v>0</v>
      </c>
    </row>
    <row r="20" spans="3:11" x14ac:dyDescent="0.15">
      <c r="C20" s="21"/>
      <c r="D20" s="22"/>
      <c r="E20" s="23"/>
      <c r="F20" s="23"/>
      <c r="G20" s="23"/>
      <c r="H20" s="22"/>
      <c r="J20" s="29">
        <f>STOCK!C20</f>
        <v>0</v>
      </c>
      <c r="K20" s="36">
        <f>SUMIFS(E10:E2510,D10:D2510,J20)</f>
        <v>0</v>
      </c>
    </row>
    <row r="21" spans="3:11" x14ac:dyDescent="0.15">
      <c r="C21" s="21"/>
      <c r="D21" s="22"/>
      <c r="E21" s="23"/>
      <c r="F21" s="23"/>
      <c r="G21" s="23"/>
      <c r="H21" s="22"/>
      <c r="J21" s="29">
        <f>STOCK!C21</f>
        <v>0</v>
      </c>
      <c r="K21" s="36">
        <f>SUMIFS(E10:E2510,D10:D2510,J21)</f>
        <v>0</v>
      </c>
    </row>
    <row r="22" spans="3:11" x14ac:dyDescent="0.15">
      <c r="C22" s="21"/>
      <c r="D22" s="22"/>
      <c r="E22" s="23"/>
      <c r="F22" s="23"/>
      <c r="G22" s="23"/>
      <c r="H22" s="22"/>
      <c r="J22" s="29">
        <f>STOCK!C22</f>
        <v>0</v>
      </c>
      <c r="K22" s="36">
        <f>SUMIFS(E10:E2510,D10:D2510,J22)</f>
        <v>0</v>
      </c>
    </row>
    <row r="23" spans="3:11" x14ac:dyDescent="0.15">
      <c r="C23" s="21"/>
      <c r="D23" s="22"/>
      <c r="E23" s="23"/>
      <c r="F23" s="23"/>
      <c r="G23" s="23"/>
      <c r="H23" s="22"/>
      <c r="J23" s="29">
        <f>STOCK!C23</f>
        <v>0</v>
      </c>
      <c r="K23" s="36">
        <f>SUMIFS(E10:E2510,D10:D2510,J23)</f>
        <v>0</v>
      </c>
    </row>
    <row r="24" spans="3:11" x14ac:dyDescent="0.15">
      <c r="C24" s="21"/>
      <c r="D24" s="22"/>
      <c r="E24" s="23"/>
      <c r="F24" s="23"/>
      <c r="G24" s="23"/>
      <c r="H24" s="22"/>
      <c r="J24" s="29">
        <f>STOCK!C24</f>
        <v>0</v>
      </c>
      <c r="K24" s="36">
        <f>SUMIFS(E10:E2510,D10:D2510,J24)</f>
        <v>0</v>
      </c>
    </row>
    <row r="25" spans="3:11" x14ac:dyDescent="0.15">
      <c r="C25" s="21"/>
      <c r="D25" s="22"/>
      <c r="E25" s="23"/>
      <c r="F25" s="23"/>
      <c r="G25" s="23"/>
      <c r="H25" s="22"/>
      <c r="J25" s="29">
        <f>STOCK!C25</f>
        <v>0</v>
      </c>
      <c r="K25" s="36">
        <f>SUMIFS(E10:E2510,D10:D2510,J25)</f>
        <v>0</v>
      </c>
    </row>
    <row r="26" spans="3:11" x14ac:dyDescent="0.15">
      <c r="C26" s="21"/>
      <c r="D26" s="22"/>
      <c r="E26" s="23"/>
      <c r="F26" s="23"/>
      <c r="G26" s="23"/>
      <c r="H26" s="22"/>
      <c r="J26" s="29">
        <f>STOCK!C26</f>
        <v>0</v>
      </c>
      <c r="K26" s="36">
        <f>SUMIFS(E10:E2510,D10:D2510,J26)</f>
        <v>0</v>
      </c>
    </row>
    <row r="27" spans="3:11" x14ac:dyDescent="0.15">
      <c r="C27" s="21"/>
      <c r="D27" s="22"/>
      <c r="E27" s="23"/>
      <c r="F27" s="23"/>
      <c r="G27" s="23"/>
      <c r="H27" s="22"/>
      <c r="J27" s="29">
        <f>STOCK!C27</f>
        <v>0</v>
      </c>
      <c r="K27" s="36">
        <f>SUMIFS(E10:E2510,D10:D2510,J27)</f>
        <v>0</v>
      </c>
    </row>
    <row r="28" spans="3:11" x14ac:dyDescent="0.15">
      <c r="C28" s="21"/>
      <c r="D28" s="22"/>
      <c r="E28" s="23"/>
      <c r="F28" s="23"/>
      <c r="G28" s="23"/>
      <c r="H28" s="22"/>
      <c r="J28" s="29">
        <f>STOCK!C28</f>
        <v>0</v>
      </c>
      <c r="K28" s="36">
        <f>SUMIFS(E10:E2510,D10:D2510,J28)</f>
        <v>0</v>
      </c>
    </row>
    <row r="29" spans="3:11" x14ac:dyDescent="0.15">
      <c r="C29" s="21"/>
      <c r="D29" s="22"/>
      <c r="E29" s="23"/>
      <c r="F29" s="23"/>
      <c r="G29" s="23"/>
      <c r="H29" s="22"/>
      <c r="J29" s="29">
        <f>STOCK!C29</f>
        <v>0</v>
      </c>
      <c r="K29" s="36">
        <f>SUMIFS(E10:E2510,D10:D2510,J29)</f>
        <v>0</v>
      </c>
    </row>
    <row r="30" spans="3:11" x14ac:dyDescent="0.15">
      <c r="C30" s="21"/>
      <c r="D30" s="22"/>
      <c r="E30" s="23"/>
      <c r="F30" s="23"/>
      <c r="G30" s="23"/>
      <c r="H30" s="22"/>
      <c r="J30" s="29">
        <f>STOCK!C30</f>
        <v>0</v>
      </c>
      <c r="K30" s="36">
        <f>SUMIFS(E10:E2510,D10:D2510,J30)</f>
        <v>0</v>
      </c>
    </row>
    <row r="31" spans="3:11" x14ac:dyDescent="0.15">
      <c r="C31" s="21"/>
      <c r="D31" s="22"/>
      <c r="E31" s="23"/>
      <c r="F31" s="23"/>
      <c r="G31" s="23"/>
      <c r="H31" s="22"/>
      <c r="J31" s="29">
        <f>STOCK!C31</f>
        <v>0</v>
      </c>
      <c r="K31" s="36">
        <f>SUMIFS(E10:E2510,D10:D2510,J31)</f>
        <v>0</v>
      </c>
    </row>
    <row r="32" spans="3:11" x14ac:dyDescent="0.15">
      <c r="C32" s="21"/>
      <c r="D32" s="22"/>
      <c r="E32" s="23"/>
      <c r="F32" s="23"/>
      <c r="G32" s="23"/>
      <c r="H32" s="22"/>
      <c r="J32" s="29">
        <f>STOCK!C32</f>
        <v>0</v>
      </c>
      <c r="K32" s="36">
        <f>SUMIFS(E10:E2510,D10:D2510,J32)</f>
        <v>0</v>
      </c>
    </row>
    <row r="33" spans="3:11" x14ac:dyDescent="0.15">
      <c r="C33" s="21"/>
      <c r="D33" s="22"/>
      <c r="E33" s="23"/>
      <c r="F33" s="23"/>
      <c r="G33" s="23"/>
      <c r="H33" s="22"/>
      <c r="J33" s="29">
        <f>STOCK!C33</f>
        <v>0</v>
      </c>
      <c r="K33" s="37">
        <f>SUMIFS(E10:E2510,D10:D2510,J33)</f>
        <v>0</v>
      </c>
    </row>
    <row r="34" spans="3:11" x14ac:dyDescent="0.15">
      <c r="C34" s="21"/>
      <c r="D34" s="22"/>
      <c r="E34" s="23"/>
      <c r="F34" s="23"/>
      <c r="G34" s="23"/>
      <c r="H34" s="22"/>
      <c r="J34" s="29">
        <f>STOCK!C34</f>
        <v>0</v>
      </c>
      <c r="K34" s="37">
        <f>SUMIFS(E10:E2510,D10:D2510,J34)</f>
        <v>0</v>
      </c>
    </row>
    <row r="35" spans="3:11" x14ac:dyDescent="0.15">
      <c r="C35" s="21"/>
      <c r="D35" s="22"/>
      <c r="E35" s="23"/>
      <c r="F35" s="23"/>
      <c r="G35" s="23"/>
      <c r="H35" s="22"/>
      <c r="J35" s="29">
        <f>STOCK!C35</f>
        <v>0</v>
      </c>
      <c r="K35" s="37">
        <f>SUMIFS(E10:E2510,D10:D2510,J35)</f>
        <v>0</v>
      </c>
    </row>
    <row r="36" spans="3:11" x14ac:dyDescent="0.15">
      <c r="C36" s="21"/>
      <c r="D36" s="22"/>
      <c r="E36" s="23"/>
      <c r="F36" s="23"/>
      <c r="G36" s="23"/>
      <c r="H36" s="22"/>
      <c r="J36" s="29">
        <f>STOCK!C36</f>
        <v>0</v>
      </c>
      <c r="K36" s="37">
        <f>SUMIFS(E10:E2510,D10:D2510,J36)</f>
        <v>0</v>
      </c>
    </row>
    <row r="37" spans="3:11" x14ac:dyDescent="0.15">
      <c r="C37" s="21"/>
      <c r="D37" s="22"/>
      <c r="E37" s="23"/>
      <c r="F37" s="23"/>
      <c r="G37" s="23"/>
      <c r="H37" s="22"/>
      <c r="J37" s="29" t="e">
        <f>STOCK!#REF!</f>
        <v>#REF!</v>
      </c>
      <c r="K37" s="37">
        <f>SUMIFS(E10:E2510,D10:D2510,J37)</f>
        <v>0</v>
      </c>
    </row>
    <row r="38" spans="3:11" x14ac:dyDescent="0.15">
      <c r="C38" s="21"/>
      <c r="D38" s="22"/>
      <c r="E38" s="23"/>
      <c r="F38" s="23"/>
      <c r="G38" s="23"/>
      <c r="H38" s="22"/>
      <c r="J38" s="29" t="e">
        <f>STOCK!#REF!</f>
        <v>#REF!</v>
      </c>
      <c r="K38" s="37">
        <f>SUMIFS(E10:E2510,D10:D2510,J38)</f>
        <v>0</v>
      </c>
    </row>
    <row r="39" spans="3:11" x14ac:dyDescent="0.15">
      <c r="C39" s="21"/>
      <c r="D39" s="22"/>
      <c r="E39" s="23"/>
      <c r="F39" s="23"/>
      <c r="G39" s="23"/>
      <c r="H39" s="22"/>
      <c r="J39" s="29" t="e">
        <f>STOCK!#REF!</f>
        <v>#REF!</v>
      </c>
      <c r="K39" s="37">
        <f>SUMIFS(E10:E2510,D10:D2510,J39)</f>
        <v>0</v>
      </c>
    </row>
    <row r="40" spans="3:11" x14ac:dyDescent="0.15">
      <c r="C40" s="21"/>
      <c r="D40" s="22"/>
      <c r="E40" s="23"/>
      <c r="F40" s="23"/>
      <c r="G40" s="23"/>
      <c r="H40" s="22"/>
      <c r="J40" s="29" t="e">
        <f>STOCK!#REF!</f>
        <v>#REF!</v>
      </c>
      <c r="K40" s="37">
        <f>SUMIFS(E10:E2510,D10:D2510,J40)</f>
        <v>0</v>
      </c>
    </row>
    <row r="41" spans="3:11" x14ac:dyDescent="0.15">
      <c r="C41" s="21"/>
      <c r="D41" s="22"/>
      <c r="E41" s="23"/>
      <c r="F41" s="23"/>
      <c r="G41" s="23"/>
      <c r="H41" s="22"/>
      <c r="J41" s="29" t="e">
        <f>STOCK!#REF!</f>
        <v>#REF!</v>
      </c>
      <c r="K41" s="37">
        <f>SUMIFS(E10:E2510,D10:D2510,J41)</f>
        <v>0</v>
      </c>
    </row>
    <row r="42" spans="3:11" x14ac:dyDescent="0.15">
      <c r="C42" s="21"/>
      <c r="D42" s="22"/>
      <c r="E42" s="23"/>
      <c r="F42" s="23"/>
      <c r="G42" s="23"/>
      <c r="H42" s="22"/>
      <c r="J42" s="29" t="e">
        <f>STOCK!#REF!</f>
        <v>#REF!</v>
      </c>
      <c r="K42" s="37">
        <f>SUMIFS(E10:E2510,D10:D2510,J42)</f>
        <v>0</v>
      </c>
    </row>
    <row r="43" spans="3:11" x14ac:dyDescent="0.15">
      <c r="C43" s="21"/>
      <c r="D43" s="22"/>
      <c r="E43" s="23"/>
      <c r="F43" s="23"/>
      <c r="G43" s="23"/>
      <c r="H43" s="22"/>
      <c r="J43" s="29" t="e">
        <f>STOCK!#REF!</f>
        <v>#REF!</v>
      </c>
      <c r="K43" s="37">
        <f>SUMIFS(E10:E2510,D10:D2510,J43)</f>
        <v>0</v>
      </c>
    </row>
    <row r="44" spans="3:11" x14ac:dyDescent="0.15">
      <c r="C44" s="21"/>
      <c r="D44" s="22"/>
      <c r="E44" s="23"/>
      <c r="F44" s="23"/>
      <c r="G44" s="23"/>
      <c r="H44" s="22"/>
      <c r="J44" s="29" t="e">
        <f>STOCK!#REF!</f>
        <v>#REF!</v>
      </c>
      <c r="K44" s="37">
        <f>SUMIFS(E10:E2510,D10:D2510,J44)</f>
        <v>0</v>
      </c>
    </row>
    <row r="45" spans="3:11" x14ac:dyDescent="0.15">
      <c r="C45" s="21"/>
      <c r="D45" s="22"/>
      <c r="E45" s="23"/>
      <c r="F45" s="23"/>
      <c r="G45" s="23"/>
      <c r="H45" s="22"/>
      <c r="J45" s="29" t="e">
        <f>STOCK!#REF!</f>
        <v>#REF!</v>
      </c>
      <c r="K45" s="37">
        <f>SUMIFS(E10:E2510,D10:D2510,J545)</f>
        <v>0</v>
      </c>
    </row>
    <row r="46" spans="3:11" x14ac:dyDescent="0.15">
      <c r="C46" s="21"/>
      <c r="D46" s="22"/>
      <c r="E46" s="23"/>
      <c r="F46" s="23"/>
      <c r="G46" s="23"/>
      <c r="H46" s="22"/>
      <c r="J46" s="29" t="e">
        <f>STOCK!#REF!</f>
        <v>#REF!</v>
      </c>
      <c r="K46" s="37">
        <f>SUMIFS(E10:E2510,D10:D2510,J46)</f>
        <v>0</v>
      </c>
    </row>
    <row r="47" spans="3:11" x14ac:dyDescent="0.15">
      <c r="C47" s="21"/>
      <c r="D47" s="22"/>
      <c r="E47" s="23"/>
      <c r="F47" s="23"/>
      <c r="G47" s="23"/>
      <c r="H47" s="22"/>
      <c r="J47" s="29" t="e">
        <f>STOCK!#REF!</f>
        <v>#REF!</v>
      </c>
      <c r="K47" s="37">
        <f>SUMIFS(E10:E2510,D10:D2510,J47)</f>
        <v>0</v>
      </c>
    </row>
    <row r="48" spans="3:11" x14ac:dyDescent="0.15">
      <c r="C48" s="21"/>
      <c r="D48" s="22"/>
      <c r="E48" s="23"/>
      <c r="F48" s="23"/>
      <c r="G48" s="23"/>
      <c r="H48" s="22"/>
      <c r="J48" s="29" t="e">
        <f>STOCK!#REF!</f>
        <v>#REF!</v>
      </c>
      <c r="K48" s="37">
        <f>SUMIFS(E10:E2510,D10:D2510,J48)</f>
        <v>0</v>
      </c>
    </row>
    <row r="49" spans="3:11" x14ac:dyDescent="0.15">
      <c r="C49" s="21"/>
      <c r="D49" s="22"/>
      <c r="E49" s="23"/>
      <c r="F49" s="23"/>
      <c r="G49" s="23"/>
      <c r="H49" s="22"/>
      <c r="J49" s="29" t="e">
        <f>STOCK!#REF!</f>
        <v>#REF!</v>
      </c>
      <c r="K49" s="37">
        <f>SUMIFS(E10:E2510,D10:D2510,J49)</f>
        <v>0</v>
      </c>
    </row>
    <row r="50" spans="3:11" x14ac:dyDescent="0.15">
      <c r="C50" s="21"/>
      <c r="D50" s="22"/>
      <c r="E50" s="23"/>
      <c r="F50" s="23"/>
      <c r="G50" s="23"/>
      <c r="H50" s="22"/>
      <c r="J50" s="29" t="e">
        <f>STOCK!#REF!</f>
        <v>#REF!</v>
      </c>
      <c r="K50" s="37">
        <f>SUMIFS(E10:E2510,D10:D2510,J50)</f>
        <v>0</v>
      </c>
    </row>
    <row r="51" spans="3:11" x14ac:dyDescent="0.15">
      <c r="C51" s="21"/>
      <c r="D51" s="22"/>
      <c r="E51" s="23"/>
      <c r="F51" s="23"/>
      <c r="G51" s="23"/>
      <c r="H51" s="22"/>
      <c r="J51" s="29" t="e">
        <f>STOCK!#REF!</f>
        <v>#REF!</v>
      </c>
      <c r="K51" s="37">
        <f>SUMIFS(E10:E2510,D10:D2510,J51)</f>
        <v>0</v>
      </c>
    </row>
    <row r="52" spans="3:11" x14ac:dyDescent="0.15">
      <c r="C52" s="21"/>
      <c r="D52" s="22"/>
      <c r="E52" s="23"/>
      <c r="F52" s="23"/>
      <c r="G52" s="23"/>
      <c r="H52" s="22"/>
      <c r="J52" s="29" t="e">
        <f>STOCK!#REF!</f>
        <v>#REF!</v>
      </c>
      <c r="K52" s="37">
        <f>SUMIFS(E10:E2510,D10:D2510,J52)</f>
        <v>0</v>
      </c>
    </row>
    <row r="53" spans="3:11" x14ac:dyDescent="0.15">
      <c r="C53" s="21"/>
      <c r="D53" s="22"/>
      <c r="E53" s="23"/>
      <c r="F53" s="23"/>
      <c r="G53" s="23"/>
      <c r="H53" s="22"/>
      <c r="J53" s="29" t="e">
        <f>STOCK!#REF!</f>
        <v>#REF!</v>
      </c>
      <c r="K53" s="37">
        <f>SUMIFS(E10:E2510,D10:D2510,J53)</f>
        <v>0</v>
      </c>
    </row>
    <row r="54" spans="3:11" x14ac:dyDescent="0.15">
      <c r="C54" s="21"/>
      <c r="D54" s="22"/>
      <c r="E54" s="23"/>
      <c r="F54" s="23"/>
      <c r="G54" s="24"/>
      <c r="H54" s="22"/>
      <c r="J54" s="29" t="e">
        <f>STOCK!#REF!</f>
        <v>#REF!</v>
      </c>
      <c r="K54" s="37">
        <f>SUMIFS(E10:E2510,D10:D2510,J54)</f>
        <v>0</v>
      </c>
    </row>
    <row r="55" spans="3:11" x14ac:dyDescent="0.15">
      <c r="C55" s="21"/>
      <c r="D55" s="22"/>
      <c r="E55" s="23"/>
      <c r="F55" s="23"/>
      <c r="G55" s="24"/>
      <c r="H55" s="22"/>
    </row>
    <row r="56" spans="3:11" x14ac:dyDescent="0.15">
      <c r="C56" s="21"/>
      <c r="D56" s="22"/>
      <c r="E56" s="23"/>
      <c r="F56" s="23"/>
      <c r="G56" s="23"/>
      <c r="H56" s="22"/>
    </row>
    <row r="57" spans="3:11" x14ac:dyDescent="0.15">
      <c r="C57" s="21"/>
      <c r="D57" s="22"/>
      <c r="E57" s="23"/>
      <c r="F57" s="23"/>
      <c r="G57" s="23"/>
      <c r="H57" s="22"/>
    </row>
    <row r="58" spans="3:11" x14ac:dyDescent="0.15">
      <c r="C58" s="21"/>
      <c r="D58" s="22"/>
      <c r="E58" s="23"/>
      <c r="F58" s="23"/>
      <c r="G58" s="23"/>
      <c r="H58" s="22"/>
    </row>
    <row r="59" spans="3:11" x14ac:dyDescent="0.15">
      <c r="C59" s="21"/>
      <c r="D59" s="22"/>
      <c r="E59" s="23"/>
      <c r="F59" s="23"/>
      <c r="G59" s="23"/>
      <c r="H59" s="22"/>
    </row>
    <row r="60" spans="3:11" x14ac:dyDescent="0.15">
      <c r="C60" s="21"/>
      <c r="D60" s="22"/>
      <c r="E60" s="23"/>
      <c r="F60" s="23"/>
      <c r="G60" s="23"/>
      <c r="H60" s="22"/>
    </row>
    <row r="61" spans="3:11" x14ac:dyDescent="0.15">
      <c r="C61" s="21"/>
      <c r="D61" s="22"/>
      <c r="E61" s="23"/>
      <c r="F61" s="23"/>
      <c r="G61" s="24"/>
      <c r="H61" s="22"/>
    </row>
    <row r="62" spans="3:11" x14ac:dyDescent="0.15">
      <c r="C62" s="21"/>
      <c r="D62" s="22"/>
      <c r="E62" s="23"/>
      <c r="F62" s="23"/>
      <c r="G62" s="23"/>
      <c r="H62" s="22"/>
    </row>
    <row r="63" spans="3:11" x14ac:dyDescent="0.15">
      <c r="C63" s="21"/>
      <c r="D63" s="22"/>
      <c r="E63" s="23"/>
      <c r="F63" s="23"/>
      <c r="G63" s="23"/>
      <c r="H63" s="22"/>
    </row>
    <row r="64" spans="3:11" x14ac:dyDescent="0.15">
      <c r="C64" s="21"/>
      <c r="D64" s="22"/>
      <c r="E64" s="23"/>
      <c r="F64" s="23"/>
      <c r="G64" s="24"/>
      <c r="H64" s="22"/>
    </row>
    <row r="65" spans="3:8" x14ac:dyDescent="0.15">
      <c r="C65" s="21"/>
      <c r="D65" s="22"/>
      <c r="E65" s="23"/>
      <c r="F65" s="23"/>
      <c r="G65" s="23"/>
      <c r="H65" s="22"/>
    </row>
    <row r="66" spans="3:8" x14ac:dyDescent="0.15">
      <c r="C66" s="21"/>
      <c r="D66" s="22"/>
      <c r="E66" s="23"/>
      <c r="F66" s="23"/>
      <c r="G66" s="23"/>
      <c r="H66" s="22"/>
    </row>
    <row r="67" spans="3:8" x14ac:dyDescent="0.15">
      <c r="C67" s="21"/>
      <c r="D67" s="22"/>
      <c r="E67" s="23"/>
      <c r="F67" s="23"/>
      <c r="G67" s="23"/>
      <c r="H67" s="22"/>
    </row>
    <row r="68" spans="3:8" x14ac:dyDescent="0.15">
      <c r="C68" s="21"/>
      <c r="D68" s="22"/>
      <c r="E68" s="23"/>
      <c r="F68" s="23"/>
      <c r="G68" s="23"/>
      <c r="H68" s="22"/>
    </row>
    <row r="69" spans="3:8" x14ac:dyDescent="0.15">
      <c r="C69" s="21"/>
      <c r="D69" s="22"/>
      <c r="E69" s="23"/>
      <c r="F69" s="23"/>
      <c r="G69" s="23"/>
      <c r="H69" s="22"/>
    </row>
    <row r="70" spans="3:8" x14ac:dyDescent="0.15">
      <c r="C70" s="21"/>
      <c r="D70" s="22"/>
      <c r="E70" s="23"/>
      <c r="F70" s="23"/>
      <c r="G70" s="23"/>
      <c r="H70" s="22"/>
    </row>
    <row r="71" spans="3:8" x14ac:dyDescent="0.15">
      <c r="C71" s="21"/>
      <c r="D71" s="22"/>
      <c r="E71" s="23"/>
      <c r="F71" s="23"/>
      <c r="G71" s="23"/>
      <c r="H71" s="22"/>
    </row>
    <row r="72" spans="3:8" x14ac:dyDescent="0.15">
      <c r="C72" s="21"/>
      <c r="D72" s="22"/>
      <c r="E72" s="23"/>
      <c r="F72" s="23"/>
      <c r="G72" s="23"/>
      <c r="H72" s="22"/>
    </row>
    <row r="73" spans="3:8" x14ac:dyDescent="0.15">
      <c r="C73" s="21"/>
      <c r="D73" s="22"/>
      <c r="E73" s="23"/>
      <c r="F73" s="23"/>
      <c r="G73" s="23"/>
      <c r="H73" s="22"/>
    </row>
    <row r="74" spans="3:8" x14ac:dyDescent="0.15">
      <c r="C74" s="21"/>
      <c r="D74" s="22"/>
      <c r="E74" s="23"/>
      <c r="F74" s="23"/>
      <c r="G74" s="23"/>
      <c r="H74" s="22"/>
    </row>
    <row r="75" spans="3:8" x14ac:dyDescent="0.15">
      <c r="C75" s="21"/>
      <c r="D75" s="22"/>
      <c r="E75" s="23"/>
      <c r="F75" s="23"/>
      <c r="G75" s="23"/>
      <c r="H75" s="22"/>
    </row>
    <row r="76" spans="3:8" x14ac:dyDescent="0.15">
      <c r="C76" s="21"/>
      <c r="D76" s="22"/>
      <c r="E76" s="23"/>
      <c r="F76" s="23"/>
      <c r="G76" s="23"/>
      <c r="H76" s="22"/>
    </row>
    <row r="77" spans="3:8" x14ac:dyDescent="0.15">
      <c r="C77" s="21"/>
      <c r="D77" s="22"/>
      <c r="E77" s="23"/>
      <c r="F77" s="23"/>
      <c r="G77" s="23"/>
      <c r="H77" s="22"/>
    </row>
    <row r="78" spans="3:8" x14ac:dyDescent="0.15">
      <c r="C78" s="21"/>
      <c r="D78" s="22"/>
      <c r="E78" s="23"/>
      <c r="F78" s="23"/>
      <c r="G78" s="23"/>
      <c r="H78" s="22"/>
    </row>
    <row r="79" spans="3:8" x14ac:dyDescent="0.15">
      <c r="C79" s="21"/>
      <c r="D79" s="22"/>
      <c r="E79" s="23"/>
      <c r="F79" s="23"/>
      <c r="G79" s="23"/>
      <c r="H79" s="22"/>
    </row>
    <row r="80" spans="3:8" x14ac:dyDescent="0.15">
      <c r="C80" s="21"/>
      <c r="D80" s="22"/>
      <c r="E80" s="23"/>
      <c r="F80" s="23"/>
      <c r="G80" s="23"/>
      <c r="H80" s="22"/>
    </row>
    <row r="81" spans="3:8" x14ac:dyDescent="0.15">
      <c r="C81" s="21"/>
      <c r="D81" s="22"/>
      <c r="E81" s="23"/>
      <c r="F81" s="23"/>
      <c r="G81" s="23"/>
      <c r="H81" s="22"/>
    </row>
    <row r="82" spans="3:8" x14ac:dyDescent="0.15">
      <c r="C82" s="21"/>
      <c r="D82" s="22"/>
      <c r="E82" s="23"/>
      <c r="F82" s="23"/>
      <c r="G82" s="23"/>
      <c r="H82" s="22"/>
    </row>
    <row r="83" spans="3:8" x14ac:dyDescent="0.15">
      <c r="C83" s="21"/>
      <c r="D83" s="22"/>
      <c r="E83" s="23"/>
      <c r="F83" s="23"/>
      <c r="G83" s="23"/>
      <c r="H83" s="22"/>
    </row>
    <row r="84" spans="3:8" x14ac:dyDescent="0.15">
      <c r="C84" s="21"/>
      <c r="D84" s="22"/>
      <c r="E84" s="23"/>
      <c r="F84" s="23"/>
      <c r="G84" s="23"/>
      <c r="H84" s="22"/>
    </row>
    <row r="85" spans="3:8" x14ac:dyDescent="0.15">
      <c r="C85" s="21"/>
      <c r="D85" s="22"/>
      <c r="E85" s="23"/>
      <c r="F85" s="23"/>
      <c r="G85" s="23"/>
      <c r="H85" s="22"/>
    </row>
    <row r="86" spans="3:8" x14ac:dyDescent="0.15">
      <c r="C86" s="21"/>
      <c r="D86" s="22"/>
      <c r="E86" s="23"/>
      <c r="F86" s="23"/>
      <c r="G86" s="23"/>
      <c r="H86" s="22"/>
    </row>
    <row r="87" spans="3:8" x14ac:dyDescent="0.15">
      <c r="C87" s="21"/>
      <c r="D87" s="22"/>
      <c r="E87" s="23"/>
      <c r="F87" s="23"/>
      <c r="G87" s="23"/>
      <c r="H87" s="22"/>
    </row>
    <row r="88" spans="3:8" x14ac:dyDescent="0.15">
      <c r="C88" s="21"/>
      <c r="D88" s="22"/>
      <c r="E88" s="23"/>
      <c r="F88" s="23"/>
      <c r="G88" s="23"/>
      <c r="H88" s="22"/>
    </row>
    <row r="89" spans="3:8" x14ac:dyDescent="0.15">
      <c r="C89" s="21"/>
      <c r="D89" s="22"/>
      <c r="E89" s="23"/>
      <c r="F89" s="23"/>
      <c r="G89" s="23"/>
      <c r="H89" s="22"/>
    </row>
    <row r="90" spans="3:8" x14ac:dyDescent="0.15">
      <c r="C90" s="21"/>
      <c r="D90" s="22"/>
      <c r="E90" s="23"/>
      <c r="F90" s="23"/>
      <c r="G90" s="23"/>
      <c r="H90" s="22"/>
    </row>
    <row r="91" spans="3:8" x14ac:dyDescent="0.15">
      <c r="C91" s="21"/>
      <c r="D91" s="22"/>
      <c r="E91" s="23"/>
      <c r="F91" s="23"/>
      <c r="G91" s="23"/>
      <c r="H91" s="22"/>
    </row>
    <row r="92" spans="3:8" x14ac:dyDescent="0.15">
      <c r="C92" s="21"/>
      <c r="D92" s="22"/>
      <c r="E92" s="23"/>
      <c r="F92" s="23"/>
      <c r="G92" s="23"/>
      <c r="H92" s="22"/>
    </row>
    <row r="93" spans="3:8" x14ac:dyDescent="0.15">
      <c r="C93" s="21"/>
      <c r="D93" s="22"/>
      <c r="E93" s="23"/>
      <c r="F93" s="23"/>
      <c r="G93" s="23"/>
      <c r="H93" s="22"/>
    </row>
    <row r="94" spans="3:8" x14ac:dyDescent="0.15">
      <c r="C94" s="21"/>
      <c r="D94" s="22"/>
      <c r="E94" s="23"/>
      <c r="F94" s="23"/>
      <c r="G94" s="23"/>
      <c r="H94" s="22"/>
    </row>
    <row r="95" spans="3:8" x14ac:dyDescent="0.15">
      <c r="C95" s="21"/>
      <c r="D95" s="22"/>
      <c r="E95" s="23"/>
      <c r="F95" s="23"/>
      <c r="G95" s="23"/>
      <c r="H95" s="22"/>
    </row>
    <row r="96" spans="3:8" x14ac:dyDescent="0.15">
      <c r="C96" s="21"/>
      <c r="D96" s="22"/>
      <c r="E96" s="23"/>
      <c r="F96" s="23"/>
      <c r="G96" s="23"/>
      <c r="H96" s="22"/>
    </row>
    <row r="97" spans="3:8" x14ac:dyDescent="0.15">
      <c r="C97" s="21"/>
      <c r="D97" s="22"/>
      <c r="E97" s="23"/>
      <c r="F97" s="23"/>
      <c r="G97" s="23"/>
      <c r="H97" s="22"/>
    </row>
    <row r="98" spans="3:8" x14ac:dyDescent="0.15">
      <c r="C98" s="21"/>
      <c r="D98" s="22"/>
      <c r="E98" s="23"/>
      <c r="F98" s="23"/>
      <c r="G98" s="23"/>
      <c r="H98" s="22"/>
    </row>
    <row r="99" spans="3:8" x14ac:dyDescent="0.15">
      <c r="C99" s="21"/>
      <c r="D99" s="22"/>
      <c r="E99" s="23"/>
      <c r="F99" s="23"/>
      <c r="G99" s="23"/>
      <c r="H99" s="22"/>
    </row>
    <row r="100" spans="3:8" x14ac:dyDescent="0.15">
      <c r="C100" s="21"/>
      <c r="D100" s="22"/>
      <c r="E100" s="23"/>
      <c r="F100" s="23"/>
      <c r="G100" s="23"/>
      <c r="H100" s="22"/>
    </row>
    <row r="101" spans="3:8" x14ac:dyDescent="0.15">
      <c r="C101" s="21"/>
      <c r="D101" s="22"/>
      <c r="E101" s="23"/>
      <c r="F101" s="23"/>
      <c r="G101" s="23"/>
      <c r="H101" s="22"/>
    </row>
    <row r="102" spans="3:8" x14ac:dyDescent="0.15">
      <c r="C102" s="21"/>
      <c r="D102" s="22"/>
      <c r="E102" s="23"/>
      <c r="F102" s="23"/>
      <c r="G102" s="23"/>
      <c r="H102" s="22"/>
    </row>
    <row r="103" spans="3:8" x14ac:dyDescent="0.15">
      <c r="C103" s="21"/>
      <c r="D103" s="22"/>
      <c r="E103" s="23"/>
      <c r="F103" s="23"/>
      <c r="G103" s="23"/>
      <c r="H103" s="22"/>
    </row>
    <row r="104" spans="3:8" x14ac:dyDescent="0.15">
      <c r="C104" s="21"/>
      <c r="D104" s="22"/>
      <c r="E104" s="23"/>
      <c r="F104" s="23"/>
      <c r="G104" s="23"/>
      <c r="H104" s="22"/>
    </row>
    <row r="105" spans="3:8" x14ac:dyDescent="0.15">
      <c r="C105" s="21"/>
      <c r="D105" s="22"/>
      <c r="E105" s="23"/>
      <c r="F105" s="23"/>
      <c r="G105" s="23"/>
      <c r="H105" s="22"/>
    </row>
    <row r="106" spans="3:8" x14ac:dyDescent="0.15">
      <c r="C106" s="21"/>
      <c r="D106" s="22"/>
      <c r="E106" s="23"/>
      <c r="F106" s="23"/>
      <c r="G106" s="23"/>
      <c r="H106" s="22"/>
    </row>
    <row r="107" spans="3:8" x14ac:dyDescent="0.15">
      <c r="C107" s="21"/>
      <c r="D107" s="22"/>
      <c r="E107" s="23"/>
      <c r="F107" s="23"/>
      <c r="G107" s="23"/>
      <c r="H107" s="22"/>
    </row>
    <row r="108" spans="3:8" x14ac:dyDescent="0.15">
      <c r="C108" s="21"/>
      <c r="D108" s="22"/>
      <c r="E108" s="23"/>
      <c r="F108" s="23"/>
      <c r="G108" s="23"/>
      <c r="H108" s="22"/>
    </row>
    <row r="109" spans="3:8" x14ac:dyDescent="0.15">
      <c r="C109" s="21"/>
      <c r="D109" s="22"/>
      <c r="E109" s="23"/>
      <c r="F109" s="23"/>
      <c r="G109" s="23"/>
      <c r="H109" s="22"/>
    </row>
    <row r="110" spans="3:8" x14ac:dyDescent="0.15">
      <c r="C110" s="21"/>
      <c r="D110" s="22"/>
      <c r="E110" s="23"/>
      <c r="F110" s="23"/>
      <c r="G110" s="23"/>
      <c r="H110" s="22"/>
    </row>
    <row r="111" spans="3:8" x14ac:dyDescent="0.15">
      <c r="C111" s="21"/>
      <c r="D111" s="22"/>
      <c r="E111" s="23"/>
      <c r="F111" s="23"/>
      <c r="G111" s="23"/>
      <c r="H111" s="22"/>
    </row>
    <row r="112" spans="3:8" x14ac:dyDescent="0.15">
      <c r="C112" s="21"/>
      <c r="D112" s="22"/>
      <c r="E112" s="23"/>
      <c r="F112" s="23"/>
      <c r="G112" s="23"/>
      <c r="H112" s="22"/>
    </row>
    <row r="113" spans="3:8" x14ac:dyDescent="0.15">
      <c r="C113" s="21"/>
      <c r="D113" s="22"/>
      <c r="E113" s="23"/>
      <c r="F113" s="23"/>
      <c r="G113" s="23"/>
      <c r="H113" s="22"/>
    </row>
    <row r="114" spans="3:8" x14ac:dyDescent="0.15">
      <c r="C114" s="21"/>
      <c r="D114" s="22"/>
      <c r="E114" s="23"/>
      <c r="F114" s="23"/>
      <c r="G114" s="23"/>
      <c r="H114" s="22"/>
    </row>
    <row r="115" spans="3:8" x14ac:dyDescent="0.15">
      <c r="C115" s="21"/>
      <c r="D115" s="22"/>
      <c r="E115" s="23"/>
      <c r="F115" s="23"/>
      <c r="G115" s="23"/>
      <c r="H115" s="22"/>
    </row>
    <row r="116" spans="3:8" x14ac:dyDescent="0.15">
      <c r="C116" s="24"/>
      <c r="D116" s="22"/>
      <c r="E116" s="23"/>
      <c r="F116" s="23"/>
      <c r="G116" s="23"/>
      <c r="H116" s="22"/>
    </row>
    <row r="117" spans="3:8" x14ac:dyDescent="0.15">
      <c r="C117" s="24"/>
      <c r="D117" s="22"/>
      <c r="E117" s="23"/>
      <c r="F117" s="23"/>
      <c r="G117" s="23"/>
      <c r="H117" s="22"/>
    </row>
    <row r="118" spans="3:8" x14ac:dyDescent="0.15">
      <c r="C118" s="24"/>
      <c r="D118" s="22"/>
      <c r="E118" s="23"/>
      <c r="F118" s="23"/>
      <c r="G118" s="23"/>
      <c r="H118" s="22"/>
    </row>
    <row r="119" spans="3:8" x14ac:dyDescent="0.15">
      <c r="C119" s="24"/>
      <c r="D119" s="22"/>
      <c r="E119" s="23"/>
      <c r="F119" s="23"/>
      <c r="G119" s="23"/>
      <c r="H119" s="22"/>
    </row>
    <row r="120" spans="3:8" x14ac:dyDescent="0.15">
      <c r="C120" s="24"/>
      <c r="D120" s="22"/>
      <c r="E120" s="23"/>
      <c r="F120" s="23"/>
      <c r="G120" s="23"/>
      <c r="H120" s="22"/>
    </row>
    <row r="121" spans="3:8" x14ac:dyDescent="0.15">
      <c r="C121" s="24"/>
      <c r="D121" s="22"/>
      <c r="E121" s="23"/>
      <c r="F121" s="23"/>
      <c r="G121" s="23"/>
      <c r="H121" s="22"/>
    </row>
    <row r="122" spans="3:8" x14ac:dyDescent="0.15">
      <c r="C122" s="24"/>
      <c r="D122" s="22"/>
      <c r="E122" s="23"/>
      <c r="F122" s="23"/>
      <c r="G122" s="23"/>
      <c r="H122" s="22"/>
    </row>
    <row r="123" spans="3:8" x14ac:dyDescent="0.15">
      <c r="C123" s="24"/>
      <c r="D123" s="22"/>
      <c r="E123" s="23"/>
      <c r="F123" s="23"/>
      <c r="G123" s="23"/>
      <c r="H123" s="22"/>
    </row>
    <row r="124" spans="3:8" x14ac:dyDescent="0.15">
      <c r="C124" s="24"/>
      <c r="D124" s="22"/>
      <c r="E124" s="23"/>
      <c r="F124" s="23"/>
      <c r="G124" s="23"/>
      <c r="H124" s="22"/>
    </row>
    <row r="125" spans="3:8" x14ac:dyDescent="0.15">
      <c r="C125" s="24"/>
      <c r="D125" s="22"/>
      <c r="E125" s="23"/>
      <c r="F125" s="23"/>
      <c r="G125" s="23"/>
      <c r="H125" s="22"/>
    </row>
    <row r="126" spans="3:8" x14ac:dyDescent="0.15">
      <c r="C126" s="24"/>
      <c r="D126" s="22"/>
      <c r="E126" s="23"/>
      <c r="F126" s="23"/>
      <c r="G126" s="23"/>
      <c r="H126" s="22"/>
    </row>
    <row r="127" spans="3:8" x14ac:dyDescent="0.15">
      <c r="C127" s="24"/>
      <c r="D127" s="22"/>
      <c r="E127" s="23"/>
      <c r="F127" s="23"/>
      <c r="G127" s="23"/>
      <c r="H127" s="22"/>
    </row>
    <row r="128" spans="3:8" x14ac:dyDescent="0.15">
      <c r="C128" s="24"/>
      <c r="D128" s="22"/>
      <c r="E128" s="23"/>
      <c r="F128" s="23"/>
      <c r="G128" s="23"/>
      <c r="H128" s="22"/>
    </row>
    <row r="129" spans="3:8" x14ac:dyDescent="0.15">
      <c r="C129" s="24"/>
      <c r="D129" s="22"/>
      <c r="E129" s="23"/>
      <c r="F129" s="23"/>
      <c r="G129" s="23"/>
      <c r="H129" s="22"/>
    </row>
    <row r="130" spans="3:8" x14ac:dyDescent="0.15">
      <c r="C130" s="24"/>
      <c r="D130" s="22"/>
      <c r="E130" s="23"/>
      <c r="F130" s="23"/>
      <c r="G130" s="23"/>
      <c r="H130" s="22"/>
    </row>
    <row r="131" spans="3:8" x14ac:dyDescent="0.15">
      <c r="C131" s="24"/>
      <c r="D131" s="22"/>
      <c r="E131" s="23"/>
      <c r="F131" s="23"/>
      <c r="G131" s="23"/>
      <c r="H131" s="22"/>
    </row>
    <row r="132" spans="3:8" x14ac:dyDescent="0.15">
      <c r="C132" s="24"/>
      <c r="D132" s="22"/>
      <c r="E132" s="23"/>
      <c r="F132" s="23"/>
      <c r="G132" s="23"/>
      <c r="H132" s="22"/>
    </row>
    <row r="133" spans="3:8" x14ac:dyDescent="0.15">
      <c r="C133" s="24"/>
      <c r="D133" s="22"/>
      <c r="E133" s="23"/>
      <c r="F133" s="23"/>
      <c r="G133" s="23"/>
      <c r="H133" s="22"/>
    </row>
    <row r="134" spans="3:8" x14ac:dyDescent="0.15">
      <c r="C134" s="24"/>
      <c r="D134" s="22"/>
      <c r="E134" s="23"/>
      <c r="F134" s="23"/>
      <c r="G134" s="23"/>
      <c r="H134" s="22"/>
    </row>
    <row r="135" spans="3:8" x14ac:dyDescent="0.15">
      <c r="C135" s="24"/>
      <c r="D135" s="22"/>
      <c r="E135" s="23"/>
      <c r="F135" s="23"/>
      <c r="G135" s="23"/>
      <c r="H135" s="22"/>
    </row>
    <row r="136" spans="3:8" x14ac:dyDescent="0.15">
      <c r="C136" s="24"/>
      <c r="D136" s="22"/>
      <c r="E136" s="23"/>
      <c r="F136" s="23"/>
      <c r="G136" s="23"/>
      <c r="H136" s="22"/>
    </row>
    <row r="137" spans="3:8" x14ac:dyDescent="0.15">
      <c r="C137" s="24"/>
      <c r="D137" s="22"/>
      <c r="E137" s="23"/>
      <c r="F137" s="23"/>
      <c r="G137" s="23"/>
      <c r="H137" s="22"/>
    </row>
    <row r="138" spans="3:8" x14ac:dyDescent="0.15">
      <c r="C138" s="24"/>
      <c r="D138" s="22"/>
      <c r="E138" s="23"/>
      <c r="F138" s="23"/>
      <c r="G138" s="23"/>
      <c r="H138" s="22"/>
    </row>
    <row r="139" spans="3:8" x14ac:dyDescent="0.15">
      <c r="C139" s="24"/>
      <c r="D139" s="22"/>
      <c r="E139" s="23"/>
      <c r="F139" s="23"/>
      <c r="G139" s="23"/>
      <c r="H139" s="22"/>
    </row>
    <row r="140" spans="3:8" x14ac:dyDescent="0.15">
      <c r="C140" s="26"/>
      <c r="D140" s="22"/>
      <c r="E140" s="20"/>
      <c r="F140" s="20"/>
      <c r="G140" s="20"/>
      <c r="H140" s="27"/>
    </row>
    <row r="141" spans="3:8" x14ac:dyDescent="0.15">
      <c r="C141" s="26"/>
      <c r="D141" s="22"/>
      <c r="E141" s="20"/>
      <c r="F141" s="20"/>
      <c r="G141" s="20"/>
      <c r="H141" s="27"/>
    </row>
    <row r="142" spans="3:8" x14ac:dyDescent="0.15">
      <c r="C142" s="26"/>
      <c r="D142" s="22"/>
      <c r="E142" s="20"/>
      <c r="F142" s="20"/>
      <c r="G142" s="20"/>
      <c r="H142" s="27"/>
    </row>
    <row r="143" spans="3:8" x14ac:dyDescent="0.15">
      <c r="C143" s="26"/>
      <c r="D143" s="22"/>
      <c r="E143" s="20"/>
      <c r="F143" s="20"/>
      <c r="G143" s="20"/>
      <c r="H143" s="27"/>
    </row>
    <row r="144" spans="3:8" x14ac:dyDescent="0.15">
      <c r="C144" s="26"/>
      <c r="D144" s="22"/>
      <c r="E144" s="20"/>
      <c r="F144" s="20"/>
      <c r="G144" s="20"/>
      <c r="H144" s="27"/>
    </row>
    <row r="145" spans="3:8" x14ac:dyDescent="0.15">
      <c r="C145" s="26"/>
      <c r="D145" s="22"/>
      <c r="E145" s="20"/>
      <c r="F145" s="20"/>
      <c r="G145" s="20"/>
      <c r="H145" s="27"/>
    </row>
    <row r="146" spans="3:8" x14ac:dyDescent="0.15">
      <c r="C146" s="26"/>
      <c r="D146" s="22"/>
      <c r="E146" s="20"/>
      <c r="F146" s="20"/>
      <c r="G146" s="20"/>
      <c r="H146" s="27"/>
    </row>
    <row r="147" spans="3:8" x14ac:dyDescent="0.15">
      <c r="C147" s="26"/>
      <c r="D147" s="22"/>
      <c r="E147" s="20"/>
      <c r="F147" s="20"/>
      <c r="G147" s="20"/>
      <c r="H147" s="27"/>
    </row>
    <row r="148" spans="3:8" x14ac:dyDescent="0.15">
      <c r="C148" s="26"/>
      <c r="D148" s="22"/>
      <c r="E148" s="20"/>
      <c r="F148" s="20"/>
      <c r="G148" s="20"/>
      <c r="H148" s="27"/>
    </row>
    <row r="149" spans="3:8" x14ac:dyDescent="0.15">
      <c r="C149" s="26"/>
      <c r="D149" s="22"/>
      <c r="E149" s="20"/>
      <c r="F149" s="20"/>
      <c r="G149" s="20"/>
      <c r="H149" s="27"/>
    </row>
    <row r="150" spans="3:8" x14ac:dyDescent="0.15">
      <c r="C150" s="26"/>
      <c r="D150" s="22"/>
      <c r="E150" s="20"/>
      <c r="F150" s="20"/>
      <c r="G150" s="20"/>
      <c r="H150" s="27"/>
    </row>
    <row r="151" spans="3:8" x14ac:dyDescent="0.15">
      <c r="C151" s="26"/>
      <c r="D151" s="22"/>
      <c r="E151" s="20"/>
      <c r="F151" s="20"/>
      <c r="G151" s="20"/>
      <c r="H151" s="27"/>
    </row>
    <row r="152" spans="3:8" x14ac:dyDescent="0.15">
      <c r="C152" s="26"/>
      <c r="D152" s="22"/>
      <c r="E152" s="20"/>
      <c r="F152" s="20"/>
      <c r="G152" s="20"/>
      <c r="H152" s="27"/>
    </row>
    <row r="153" spans="3:8" x14ac:dyDescent="0.15">
      <c r="C153" s="26"/>
      <c r="D153" s="22"/>
      <c r="E153" s="20"/>
      <c r="F153" s="20"/>
      <c r="G153" s="20"/>
      <c r="H153" s="27"/>
    </row>
    <row r="154" spans="3:8" x14ac:dyDescent="0.15">
      <c r="C154" s="26"/>
      <c r="D154" s="22"/>
      <c r="E154" s="20"/>
      <c r="F154" s="20"/>
      <c r="G154" s="20"/>
      <c r="H154" s="27"/>
    </row>
    <row r="155" spans="3:8" x14ac:dyDescent="0.15">
      <c r="C155" s="26"/>
      <c r="D155" s="22"/>
      <c r="E155" s="20"/>
      <c r="F155" s="20"/>
      <c r="G155" s="20"/>
      <c r="H155" s="27"/>
    </row>
    <row r="156" spans="3:8" x14ac:dyDescent="0.15">
      <c r="C156" s="26"/>
      <c r="D156" s="22"/>
      <c r="E156" s="20"/>
      <c r="F156" s="20"/>
      <c r="G156" s="20"/>
      <c r="H156" s="27"/>
    </row>
    <row r="157" spans="3:8" x14ac:dyDescent="0.15">
      <c r="C157" s="26"/>
      <c r="D157" s="22"/>
      <c r="E157" s="20"/>
      <c r="F157" s="20"/>
      <c r="G157" s="20"/>
      <c r="H157" s="27"/>
    </row>
    <row r="158" spans="3:8" x14ac:dyDescent="0.15">
      <c r="C158" s="26"/>
      <c r="D158" s="22"/>
      <c r="E158" s="20"/>
      <c r="F158" s="20"/>
      <c r="G158" s="20"/>
      <c r="H158" s="27"/>
    </row>
    <row r="159" spans="3:8" x14ac:dyDescent="0.15">
      <c r="C159" s="26"/>
      <c r="D159" s="22"/>
      <c r="E159" s="20"/>
      <c r="F159" s="20"/>
      <c r="G159" s="20"/>
      <c r="H159" s="27"/>
    </row>
    <row r="160" spans="3:8" x14ac:dyDescent="0.15">
      <c r="C160" s="26"/>
      <c r="D160" s="22"/>
      <c r="E160" s="20"/>
      <c r="F160" s="20"/>
      <c r="G160" s="20"/>
      <c r="H160" s="27"/>
    </row>
    <row r="161" spans="3:8" x14ac:dyDescent="0.15">
      <c r="C161" s="26"/>
      <c r="D161" s="22"/>
      <c r="E161" s="20"/>
      <c r="F161" s="20"/>
      <c r="G161" s="20"/>
      <c r="H161" s="27"/>
    </row>
    <row r="162" spans="3:8" x14ac:dyDescent="0.15">
      <c r="C162" s="26"/>
      <c r="D162" s="22"/>
      <c r="E162" s="20"/>
      <c r="F162" s="20"/>
      <c r="G162" s="20"/>
      <c r="H162" s="27"/>
    </row>
    <row r="163" spans="3:8" x14ac:dyDescent="0.15">
      <c r="C163" s="26"/>
      <c r="D163" s="22"/>
      <c r="E163" s="20"/>
      <c r="F163" s="20"/>
      <c r="G163" s="20"/>
      <c r="H163" s="27"/>
    </row>
    <row r="164" spans="3:8" x14ac:dyDescent="0.15">
      <c r="C164" s="26"/>
      <c r="D164" s="22"/>
      <c r="E164" s="20"/>
      <c r="F164" s="20"/>
      <c r="G164" s="20"/>
      <c r="H164" s="27"/>
    </row>
    <row r="165" spans="3:8" x14ac:dyDescent="0.15">
      <c r="C165" s="26"/>
      <c r="D165" s="22"/>
      <c r="E165" s="20"/>
      <c r="F165" s="20"/>
      <c r="G165" s="20"/>
      <c r="H165" s="27"/>
    </row>
    <row r="166" spans="3:8" x14ac:dyDescent="0.15">
      <c r="C166" s="26"/>
      <c r="D166" s="22"/>
      <c r="E166" s="20"/>
      <c r="F166" s="20"/>
      <c r="G166" s="20"/>
      <c r="H166" s="27"/>
    </row>
    <row r="167" spans="3:8" x14ac:dyDescent="0.15">
      <c r="C167" s="26"/>
      <c r="D167" s="22"/>
      <c r="E167" s="20"/>
      <c r="F167" s="20"/>
      <c r="G167" s="20"/>
      <c r="H167" s="27"/>
    </row>
    <row r="168" spans="3:8" x14ac:dyDescent="0.15">
      <c r="C168" s="26"/>
      <c r="D168" s="22"/>
      <c r="E168" s="20"/>
      <c r="F168" s="20"/>
      <c r="G168" s="20"/>
      <c r="H168" s="27"/>
    </row>
    <row r="169" spans="3:8" x14ac:dyDescent="0.15">
      <c r="C169" s="26"/>
      <c r="D169" s="22"/>
      <c r="E169" s="20"/>
      <c r="F169" s="20"/>
      <c r="G169" s="20"/>
      <c r="H169" s="27"/>
    </row>
    <row r="170" spans="3:8" x14ac:dyDescent="0.15">
      <c r="C170" s="26"/>
      <c r="D170" s="22"/>
      <c r="E170" s="20"/>
      <c r="F170" s="20"/>
      <c r="G170" s="20"/>
      <c r="H170" s="27"/>
    </row>
    <row r="171" spans="3:8" x14ac:dyDescent="0.15">
      <c r="C171" s="26"/>
      <c r="D171" s="22"/>
      <c r="E171" s="20"/>
      <c r="F171" s="20"/>
      <c r="G171" s="20"/>
      <c r="H171" s="27"/>
    </row>
    <row r="172" spans="3:8" x14ac:dyDescent="0.15">
      <c r="C172" s="26"/>
      <c r="D172" s="22"/>
      <c r="E172" s="20"/>
      <c r="F172" s="20"/>
      <c r="G172" s="20"/>
      <c r="H172" s="27"/>
    </row>
    <row r="173" spans="3:8" x14ac:dyDescent="0.15">
      <c r="C173" s="26"/>
      <c r="D173" s="22"/>
      <c r="E173" s="20"/>
      <c r="F173" s="20"/>
      <c r="G173" s="20"/>
      <c r="H173" s="27"/>
    </row>
    <row r="174" spans="3:8" x14ac:dyDescent="0.15">
      <c r="C174" s="26"/>
      <c r="D174" s="22"/>
      <c r="E174" s="20"/>
      <c r="F174" s="20"/>
      <c r="G174" s="20"/>
      <c r="H174" s="27"/>
    </row>
    <row r="175" spans="3:8" x14ac:dyDescent="0.15">
      <c r="C175" s="26"/>
      <c r="D175" s="22"/>
      <c r="E175" s="20"/>
      <c r="F175" s="20"/>
      <c r="G175" s="20"/>
      <c r="H175" s="27"/>
    </row>
    <row r="176" spans="3:8" x14ac:dyDescent="0.15">
      <c r="C176" s="26"/>
      <c r="D176" s="22"/>
      <c r="E176" s="20"/>
      <c r="F176" s="20"/>
      <c r="G176" s="20"/>
      <c r="H176" s="27"/>
    </row>
    <row r="177" spans="3:8" x14ac:dyDescent="0.15">
      <c r="C177" s="26"/>
      <c r="D177" s="22"/>
      <c r="E177" s="20"/>
      <c r="F177" s="20"/>
      <c r="G177" s="20"/>
      <c r="H177" s="27"/>
    </row>
    <row r="178" spans="3:8" x14ac:dyDescent="0.15">
      <c r="C178" s="26"/>
      <c r="D178" s="22"/>
      <c r="E178" s="20"/>
      <c r="F178" s="20"/>
      <c r="G178" s="20"/>
      <c r="H178" s="27"/>
    </row>
    <row r="179" spans="3:8" x14ac:dyDescent="0.15">
      <c r="C179" s="26"/>
      <c r="D179" s="22"/>
      <c r="E179" s="20"/>
      <c r="F179" s="20"/>
      <c r="G179" s="20"/>
      <c r="H179" s="27"/>
    </row>
    <row r="180" spans="3:8" x14ac:dyDescent="0.15">
      <c r="C180" s="26"/>
      <c r="D180" s="22"/>
      <c r="E180" s="20"/>
      <c r="F180" s="20"/>
      <c r="G180" s="20"/>
      <c r="H180" s="27"/>
    </row>
    <row r="181" spans="3:8" x14ac:dyDescent="0.15">
      <c r="C181" s="26"/>
      <c r="D181" s="22"/>
      <c r="E181" s="20"/>
      <c r="F181" s="20"/>
      <c r="G181" s="20"/>
      <c r="H181" s="27"/>
    </row>
    <row r="182" spans="3:8" x14ac:dyDescent="0.15">
      <c r="C182" s="26"/>
      <c r="D182" s="22"/>
      <c r="E182" s="20"/>
      <c r="F182" s="20"/>
      <c r="G182" s="20"/>
      <c r="H182" s="27"/>
    </row>
    <row r="183" spans="3:8" x14ac:dyDescent="0.15">
      <c r="C183" s="26"/>
      <c r="D183" s="22"/>
      <c r="E183" s="20"/>
      <c r="F183" s="20"/>
      <c r="G183" s="20"/>
      <c r="H183" s="27"/>
    </row>
    <row r="184" spans="3:8" x14ac:dyDescent="0.15">
      <c r="C184" s="26"/>
      <c r="D184" s="22"/>
      <c r="E184" s="20"/>
      <c r="F184" s="20"/>
      <c r="G184" s="20"/>
      <c r="H184" s="27"/>
    </row>
    <row r="185" spans="3:8" x14ac:dyDescent="0.15">
      <c r="C185" s="26"/>
      <c r="D185" s="22"/>
      <c r="E185" s="20"/>
      <c r="F185" s="20"/>
      <c r="G185" s="20"/>
      <c r="H185" s="27"/>
    </row>
    <row r="186" spans="3:8" x14ac:dyDescent="0.15">
      <c r="C186" s="26"/>
      <c r="D186" s="22"/>
      <c r="E186" s="20"/>
      <c r="F186" s="20"/>
      <c r="G186" s="20"/>
      <c r="H186" s="27"/>
    </row>
    <row r="187" spans="3:8" x14ac:dyDescent="0.15">
      <c r="C187" s="26"/>
      <c r="D187" s="22"/>
      <c r="E187" s="20"/>
      <c r="F187" s="20"/>
      <c r="G187" s="20"/>
      <c r="H187" s="27"/>
    </row>
    <row r="188" spans="3:8" x14ac:dyDescent="0.15">
      <c r="C188" s="26"/>
      <c r="D188" s="22"/>
      <c r="E188" s="20"/>
      <c r="F188" s="20"/>
      <c r="G188" s="20"/>
      <c r="H188" s="27"/>
    </row>
    <row r="189" spans="3:8" x14ac:dyDescent="0.15">
      <c r="C189" s="26"/>
      <c r="D189" s="22"/>
      <c r="E189" s="20"/>
      <c r="F189" s="20"/>
      <c r="G189" s="20"/>
      <c r="H189" s="27"/>
    </row>
    <row r="190" spans="3:8" x14ac:dyDescent="0.15">
      <c r="C190" s="26"/>
      <c r="D190" s="22"/>
      <c r="E190" s="20"/>
      <c r="F190" s="20"/>
      <c r="G190" s="20"/>
      <c r="H190" s="27"/>
    </row>
    <row r="191" spans="3:8" x14ac:dyDescent="0.15">
      <c r="C191" s="26"/>
      <c r="D191" s="22"/>
      <c r="E191" s="20"/>
      <c r="F191" s="20"/>
      <c r="G191" s="20"/>
      <c r="H191" s="27"/>
    </row>
    <row r="192" spans="3:8" x14ac:dyDescent="0.15">
      <c r="C192" s="26"/>
      <c r="D192" s="22"/>
      <c r="E192" s="20"/>
      <c r="F192" s="20"/>
      <c r="G192" s="20"/>
      <c r="H192" s="27"/>
    </row>
    <row r="193" spans="3:8" x14ac:dyDescent="0.15">
      <c r="C193" s="26"/>
      <c r="D193" s="22"/>
      <c r="E193" s="20"/>
      <c r="F193" s="20"/>
      <c r="G193" s="20"/>
      <c r="H193" s="27"/>
    </row>
    <row r="194" spans="3:8" x14ac:dyDescent="0.15">
      <c r="C194" s="26"/>
      <c r="D194" s="22"/>
      <c r="E194" s="20"/>
      <c r="F194" s="20"/>
      <c r="G194" s="20"/>
      <c r="H194" s="27"/>
    </row>
    <row r="195" spans="3:8" x14ac:dyDescent="0.15">
      <c r="C195" s="26"/>
      <c r="D195" s="22"/>
      <c r="E195" s="20"/>
      <c r="F195" s="20"/>
      <c r="G195" s="20"/>
      <c r="H195" s="27"/>
    </row>
    <row r="196" spans="3:8" x14ac:dyDescent="0.15">
      <c r="C196" s="26"/>
      <c r="D196" s="22"/>
      <c r="E196" s="20"/>
      <c r="F196" s="20"/>
      <c r="G196" s="20"/>
      <c r="H196" s="27"/>
    </row>
    <row r="197" spans="3:8" x14ac:dyDescent="0.15">
      <c r="C197" s="26"/>
      <c r="D197" s="22"/>
      <c r="E197" s="20"/>
      <c r="F197" s="20"/>
      <c r="G197" s="20"/>
      <c r="H197" s="27"/>
    </row>
    <row r="198" spans="3:8" x14ac:dyDescent="0.15">
      <c r="C198" s="26"/>
      <c r="D198" s="22"/>
      <c r="E198" s="20"/>
      <c r="F198" s="20"/>
      <c r="G198" s="20"/>
      <c r="H198" s="27"/>
    </row>
    <row r="199" spans="3:8" x14ac:dyDescent="0.15">
      <c r="C199" s="26"/>
      <c r="D199" s="22"/>
      <c r="E199" s="20"/>
      <c r="F199" s="20"/>
      <c r="G199" s="20"/>
      <c r="H199" s="27"/>
    </row>
    <row r="200" spans="3:8" x14ac:dyDescent="0.15">
      <c r="C200" s="26"/>
      <c r="D200" s="22"/>
      <c r="E200" s="20"/>
      <c r="F200" s="20"/>
      <c r="G200" s="20"/>
      <c r="H200" s="27"/>
    </row>
    <row r="201" spans="3:8" x14ac:dyDescent="0.15">
      <c r="C201" s="26"/>
      <c r="D201" s="22"/>
      <c r="E201" s="20"/>
      <c r="F201" s="20"/>
      <c r="G201" s="20"/>
      <c r="H201" s="27"/>
    </row>
    <row r="202" spans="3:8" x14ac:dyDescent="0.15">
      <c r="C202" s="26"/>
      <c r="D202" s="22"/>
      <c r="E202" s="20"/>
      <c r="F202" s="20"/>
      <c r="G202" s="20"/>
      <c r="H202" s="27"/>
    </row>
    <row r="203" spans="3:8" x14ac:dyDescent="0.15">
      <c r="C203" s="26"/>
      <c r="D203" s="22"/>
      <c r="E203" s="20"/>
      <c r="F203" s="20"/>
      <c r="G203" s="20"/>
      <c r="H203" s="27"/>
    </row>
    <row r="204" spans="3:8" x14ac:dyDescent="0.15">
      <c r="C204" s="26"/>
      <c r="D204" s="22"/>
      <c r="E204" s="20"/>
      <c r="F204" s="20"/>
      <c r="G204" s="20"/>
      <c r="H204" s="27"/>
    </row>
    <row r="205" spans="3:8" x14ac:dyDescent="0.15">
      <c r="C205" s="26"/>
      <c r="D205" s="22"/>
      <c r="E205" s="20"/>
      <c r="F205" s="20"/>
      <c r="G205" s="20"/>
      <c r="H205" s="27"/>
    </row>
    <row r="206" spans="3:8" x14ac:dyDescent="0.15">
      <c r="C206" s="26"/>
      <c r="D206" s="22"/>
      <c r="E206" s="20"/>
      <c r="F206" s="20"/>
      <c r="G206" s="20"/>
      <c r="H206" s="27"/>
    </row>
    <row r="207" spans="3:8" x14ac:dyDescent="0.15">
      <c r="C207" s="26"/>
      <c r="D207" s="22"/>
      <c r="E207" s="20"/>
      <c r="F207" s="20"/>
      <c r="G207" s="20"/>
      <c r="H207" s="27"/>
    </row>
    <row r="208" spans="3:8" x14ac:dyDescent="0.15">
      <c r="C208" s="26"/>
      <c r="D208" s="22"/>
      <c r="E208" s="20"/>
      <c r="F208" s="20"/>
      <c r="G208" s="20"/>
      <c r="H208" s="27"/>
    </row>
    <row r="209" spans="3:8" x14ac:dyDescent="0.15">
      <c r="C209" s="26"/>
      <c r="D209" s="22"/>
      <c r="E209" s="20"/>
      <c r="F209" s="20"/>
      <c r="G209" s="20"/>
      <c r="H209" s="27"/>
    </row>
    <row r="210" spans="3:8" x14ac:dyDescent="0.15">
      <c r="C210" s="26"/>
      <c r="D210" s="22"/>
      <c r="E210" s="20"/>
      <c r="F210" s="20"/>
      <c r="G210" s="20"/>
      <c r="H210" s="27"/>
    </row>
    <row r="211" spans="3:8" x14ac:dyDescent="0.15">
      <c r="C211" s="26"/>
      <c r="D211" s="22"/>
      <c r="E211" s="20"/>
      <c r="F211" s="20"/>
      <c r="G211" s="20"/>
      <c r="H211" s="27"/>
    </row>
    <row r="212" spans="3:8" x14ac:dyDescent="0.15">
      <c r="C212" s="26"/>
      <c r="D212" s="22"/>
      <c r="E212" s="20"/>
      <c r="F212" s="20"/>
      <c r="G212" s="20"/>
      <c r="H212" s="27"/>
    </row>
    <row r="213" spans="3:8" x14ac:dyDescent="0.15">
      <c r="C213" s="26"/>
      <c r="D213" s="22"/>
      <c r="E213" s="20"/>
      <c r="F213" s="20"/>
      <c r="G213" s="20"/>
      <c r="H213" s="27"/>
    </row>
    <row r="214" spans="3:8" x14ac:dyDescent="0.15">
      <c r="C214" s="26"/>
      <c r="D214" s="22"/>
      <c r="E214" s="20"/>
      <c r="F214" s="20"/>
      <c r="G214" s="20"/>
      <c r="H214" s="27"/>
    </row>
    <row r="215" spans="3:8" x14ac:dyDescent="0.15">
      <c r="C215" s="26"/>
      <c r="D215" s="22"/>
      <c r="E215" s="20"/>
      <c r="F215" s="20"/>
      <c r="G215" s="20"/>
      <c r="H215" s="27"/>
    </row>
    <row r="216" spans="3:8" x14ac:dyDescent="0.15">
      <c r="C216" s="26"/>
      <c r="D216" s="22"/>
      <c r="E216" s="20"/>
      <c r="F216" s="20"/>
      <c r="G216" s="20"/>
      <c r="H216" s="27"/>
    </row>
    <row r="217" spans="3:8" x14ac:dyDescent="0.15">
      <c r="C217" s="26"/>
      <c r="D217" s="22"/>
      <c r="E217" s="20"/>
      <c r="F217" s="20"/>
      <c r="G217" s="20"/>
      <c r="H217" s="27"/>
    </row>
    <row r="218" spans="3:8" x14ac:dyDescent="0.15">
      <c r="C218" s="26"/>
      <c r="D218" s="22"/>
      <c r="E218" s="20"/>
      <c r="F218" s="20"/>
      <c r="G218" s="20"/>
      <c r="H218" s="27"/>
    </row>
    <row r="219" spans="3:8" x14ac:dyDescent="0.15">
      <c r="C219" s="26"/>
      <c r="D219" s="22"/>
      <c r="E219" s="20"/>
      <c r="F219" s="20"/>
      <c r="G219" s="20"/>
      <c r="H219" s="27"/>
    </row>
    <row r="220" spans="3:8" x14ac:dyDescent="0.15">
      <c r="C220" s="26"/>
      <c r="D220" s="22"/>
      <c r="E220" s="20"/>
      <c r="F220" s="20"/>
      <c r="G220" s="20"/>
      <c r="H220" s="27"/>
    </row>
    <row r="221" spans="3:8" x14ac:dyDescent="0.15">
      <c r="C221" s="26"/>
      <c r="D221" s="22"/>
      <c r="E221" s="20"/>
      <c r="F221" s="20"/>
      <c r="G221" s="20"/>
      <c r="H221" s="27"/>
    </row>
    <row r="222" spans="3:8" x14ac:dyDescent="0.15">
      <c r="C222" s="26"/>
      <c r="D222" s="22"/>
      <c r="E222" s="20"/>
      <c r="F222" s="20"/>
      <c r="G222" s="20"/>
      <c r="H222" s="27"/>
    </row>
    <row r="223" spans="3:8" x14ac:dyDescent="0.15">
      <c r="C223" s="26"/>
      <c r="D223" s="22"/>
      <c r="E223" s="20"/>
      <c r="F223" s="20"/>
      <c r="G223" s="20"/>
      <c r="H223" s="27"/>
    </row>
    <row r="224" spans="3:8" x14ac:dyDescent="0.15">
      <c r="C224" s="26"/>
      <c r="D224" s="22"/>
      <c r="E224" s="20"/>
      <c r="F224" s="20"/>
      <c r="G224" s="20"/>
      <c r="H224" s="27"/>
    </row>
    <row r="225" spans="3:8" x14ac:dyDescent="0.15">
      <c r="C225" s="26"/>
      <c r="D225" s="22"/>
      <c r="E225" s="20"/>
      <c r="F225" s="20"/>
      <c r="G225" s="20"/>
      <c r="H225" s="27"/>
    </row>
    <row r="226" spans="3:8" x14ac:dyDescent="0.15">
      <c r="C226" s="26"/>
      <c r="D226" s="22"/>
      <c r="E226" s="20"/>
      <c r="F226" s="20"/>
      <c r="G226" s="20"/>
      <c r="H226" s="27"/>
    </row>
    <row r="227" spans="3:8" x14ac:dyDescent="0.15">
      <c r="C227" s="26"/>
      <c r="D227" s="22"/>
      <c r="E227" s="20"/>
      <c r="F227" s="20"/>
      <c r="G227" s="20"/>
      <c r="H227" s="27"/>
    </row>
    <row r="228" spans="3:8" x14ac:dyDescent="0.15">
      <c r="C228" s="26"/>
      <c r="D228" s="22"/>
      <c r="E228" s="20"/>
      <c r="F228" s="20"/>
      <c r="G228" s="20"/>
      <c r="H228" s="27"/>
    </row>
    <row r="229" spans="3:8" x14ac:dyDescent="0.15">
      <c r="C229" s="26"/>
      <c r="D229" s="22"/>
      <c r="E229" s="20"/>
      <c r="F229" s="20"/>
      <c r="G229" s="20"/>
      <c r="H229" s="27"/>
    </row>
    <row r="230" spans="3:8" x14ac:dyDescent="0.15">
      <c r="C230" s="26"/>
      <c r="D230" s="22"/>
      <c r="E230" s="20"/>
      <c r="F230" s="20"/>
      <c r="G230" s="20"/>
      <c r="H230" s="27"/>
    </row>
    <row r="231" spans="3:8" x14ac:dyDescent="0.15">
      <c r="C231" s="26"/>
      <c r="D231" s="22"/>
      <c r="E231" s="20"/>
      <c r="F231" s="20"/>
      <c r="G231" s="20"/>
      <c r="H231" s="27"/>
    </row>
    <row r="232" spans="3:8" x14ac:dyDescent="0.15">
      <c r="C232" s="26"/>
      <c r="D232" s="22"/>
      <c r="E232" s="20"/>
      <c r="F232" s="20"/>
      <c r="G232" s="20"/>
      <c r="H232" s="27"/>
    </row>
    <row r="233" spans="3:8" x14ac:dyDescent="0.15">
      <c r="C233" s="26"/>
      <c r="D233" s="22"/>
      <c r="E233" s="20"/>
      <c r="F233" s="20"/>
      <c r="G233" s="20"/>
      <c r="H233" s="27"/>
    </row>
    <row r="234" spans="3:8" x14ac:dyDescent="0.15">
      <c r="C234" s="26"/>
      <c r="D234" s="22"/>
      <c r="E234" s="20"/>
      <c r="F234" s="20"/>
      <c r="G234" s="20"/>
      <c r="H234" s="27"/>
    </row>
    <row r="235" spans="3:8" x14ac:dyDescent="0.15">
      <c r="C235" s="26"/>
      <c r="D235" s="22"/>
      <c r="E235" s="20"/>
      <c r="F235" s="20"/>
      <c r="G235" s="20"/>
      <c r="H235" s="27"/>
    </row>
    <row r="236" spans="3:8" x14ac:dyDescent="0.15">
      <c r="C236" s="26"/>
      <c r="D236" s="22"/>
      <c r="E236" s="20"/>
      <c r="F236" s="20"/>
      <c r="G236" s="20"/>
      <c r="H236" s="27"/>
    </row>
    <row r="237" spans="3:8" x14ac:dyDescent="0.15">
      <c r="C237" s="26"/>
      <c r="D237" s="22"/>
      <c r="E237" s="20"/>
      <c r="F237" s="20"/>
      <c r="G237" s="20"/>
      <c r="H237" s="27"/>
    </row>
    <row r="238" spans="3:8" x14ac:dyDescent="0.15">
      <c r="C238" s="26"/>
      <c r="D238" s="22"/>
      <c r="E238" s="20"/>
      <c r="F238" s="20"/>
      <c r="G238" s="20"/>
      <c r="H238" s="27"/>
    </row>
    <row r="239" spans="3:8" x14ac:dyDescent="0.15">
      <c r="C239" s="26"/>
      <c r="D239" s="22"/>
      <c r="E239" s="20"/>
      <c r="F239" s="20"/>
      <c r="G239" s="20"/>
      <c r="H239" s="27"/>
    </row>
    <row r="240" spans="3:8" x14ac:dyDescent="0.15">
      <c r="C240" s="26"/>
      <c r="D240" s="22"/>
      <c r="E240" s="20"/>
      <c r="F240" s="20"/>
      <c r="G240" s="20"/>
      <c r="H240" s="27"/>
    </row>
    <row r="241" spans="3:8" x14ac:dyDescent="0.15">
      <c r="C241" s="26"/>
      <c r="D241" s="22"/>
      <c r="E241" s="20"/>
      <c r="F241" s="20"/>
      <c r="G241" s="20"/>
      <c r="H241" s="27"/>
    </row>
    <row r="242" spans="3:8" x14ac:dyDescent="0.15">
      <c r="C242" s="26"/>
      <c r="D242" s="22"/>
      <c r="E242" s="20"/>
      <c r="F242" s="20"/>
      <c r="G242" s="20"/>
      <c r="H242" s="27"/>
    </row>
    <row r="243" spans="3:8" x14ac:dyDescent="0.15">
      <c r="C243" s="26"/>
      <c r="D243" s="22"/>
      <c r="E243" s="20"/>
      <c r="F243" s="20"/>
      <c r="G243" s="20"/>
      <c r="H243" s="27"/>
    </row>
    <row r="244" spans="3:8" x14ac:dyDescent="0.15">
      <c r="C244" s="26"/>
      <c r="D244" s="22"/>
      <c r="E244" s="20"/>
      <c r="F244" s="20"/>
      <c r="G244" s="20"/>
      <c r="H244" s="27"/>
    </row>
    <row r="245" spans="3:8" x14ac:dyDescent="0.15">
      <c r="C245" s="26"/>
      <c r="D245" s="22"/>
      <c r="E245" s="20"/>
      <c r="F245" s="20"/>
      <c r="G245" s="20"/>
      <c r="H245" s="27"/>
    </row>
    <row r="246" spans="3:8" x14ac:dyDescent="0.15">
      <c r="C246" s="26"/>
      <c r="D246" s="22"/>
      <c r="E246" s="20"/>
      <c r="F246" s="20"/>
      <c r="G246" s="20"/>
      <c r="H246" s="27"/>
    </row>
    <row r="247" spans="3:8" x14ac:dyDescent="0.15">
      <c r="C247" s="26"/>
      <c r="D247" s="22"/>
      <c r="E247" s="20"/>
      <c r="F247" s="20"/>
      <c r="G247" s="20"/>
      <c r="H247" s="27"/>
    </row>
    <row r="248" spans="3:8" x14ac:dyDescent="0.15">
      <c r="C248" s="26"/>
      <c r="D248" s="22"/>
      <c r="E248" s="20"/>
      <c r="F248" s="20"/>
      <c r="G248" s="20"/>
      <c r="H248" s="27"/>
    </row>
    <row r="249" spans="3:8" x14ac:dyDescent="0.15">
      <c r="C249" s="26"/>
      <c r="D249" s="22"/>
      <c r="E249" s="20"/>
      <c r="F249" s="20"/>
      <c r="G249" s="20"/>
      <c r="H249" s="27"/>
    </row>
    <row r="250" spans="3:8" x14ac:dyDescent="0.15">
      <c r="C250" s="26"/>
      <c r="D250" s="22"/>
      <c r="E250" s="20"/>
      <c r="F250" s="20"/>
      <c r="G250" s="20"/>
      <c r="H250" s="27"/>
    </row>
    <row r="251" spans="3:8" x14ac:dyDescent="0.15">
      <c r="C251" s="26"/>
      <c r="D251" s="22"/>
      <c r="E251" s="20"/>
      <c r="F251" s="20"/>
      <c r="G251" s="20"/>
      <c r="H251" s="27"/>
    </row>
    <row r="252" spans="3:8" x14ac:dyDescent="0.15">
      <c r="C252" s="26"/>
      <c r="D252" s="22"/>
      <c r="E252" s="20"/>
      <c r="F252" s="20"/>
      <c r="G252" s="20"/>
      <c r="H252" s="27"/>
    </row>
    <row r="253" spans="3:8" x14ac:dyDescent="0.15">
      <c r="C253" s="26"/>
      <c r="D253" s="22"/>
      <c r="E253" s="20"/>
      <c r="F253" s="20"/>
      <c r="G253" s="20"/>
      <c r="H253" s="27"/>
    </row>
    <row r="254" spans="3:8" x14ac:dyDescent="0.15">
      <c r="C254" s="26"/>
      <c r="D254" s="22"/>
      <c r="E254" s="20"/>
      <c r="F254" s="20"/>
      <c r="G254" s="20"/>
      <c r="H254" s="27"/>
    </row>
    <row r="255" spans="3:8" x14ac:dyDescent="0.15">
      <c r="C255" s="26"/>
      <c r="D255" s="22"/>
      <c r="E255" s="20"/>
      <c r="F255" s="20"/>
      <c r="G255" s="20"/>
      <c r="H255" s="27"/>
    </row>
    <row r="256" spans="3:8" x14ac:dyDescent="0.15">
      <c r="C256" s="26"/>
      <c r="D256" s="22"/>
      <c r="E256" s="20"/>
      <c r="F256" s="20"/>
      <c r="G256" s="20"/>
      <c r="H256" s="27"/>
    </row>
    <row r="257" spans="3:8" x14ac:dyDescent="0.15">
      <c r="C257" s="26"/>
      <c r="D257" s="22"/>
      <c r="E257" s="20"/>
      <c r="F257" s="20"/>
      <c r="G257" s="20"/>
      <c r="H257" s="27"/>
    </row>
    <row r="258" spans="3:8" x14ac:dyDescent="0.15">
      <c r="C258" s="26"/>
      <c r="D258" s="22"/>
      <c r="E258" s="20"/>
      <c r="F258" s="20"/>
      <c r="G258" s="20"/>
      <c r="H258" s="27"/>
    </row>
    <row r="259" spans="3:8" x14ac:dyDescent="0.15">
      <c r="C259" s="26"/>
      <c r="D259" s="22"/>
      <c r="E259" s="20"/>
      <c r="F259" s="20"/>
      <c r="G259" s="20"/>
      <c r="H259" s="27"/>
    </row>
    <row r="260" spans="3:8" x14ac:dyDescent="0.15">
      <c r="C260" s="26"/>
      <c r="D260" s="22"/>
      <c r="E260" s="20"/>
      <c r="F260" s="20"/>
      <c r="G260" s="20"/>
      <c r="H260" s="27"/>
    </row>
    <row r="261" spans="3:8" x14ac:dyDescent="0.15">
      <c r="C261" s="26"/>
      <c r="D261" s="22"/>
      <c r="E261" s="20"/>
      <c r="F261" s="20"/>
      <c r="G261" s="20"/>
      <c r="H261" s="27"/>
    </row>
    <row r="262" spans="3:8" x14ac:dyDescent="0.15">
      <c r="C262" s="26"/>
      <c r="D262" s="22"/>
      <c r="E262" s="20"/>
      <c r="F262" s="20"/>
      <c r="G262" s="20"/>
      <c r="H262" s="27"/>
    </row>
    <row r="263" spans="3:8" x14ac:dyDescent="0.15">
      <c r="C263" s="26"/>
      <c r="D263" s="22"/>
      <c r="E263" s="20"/>
      <c r="F263" s="20"/>
      <c r="G263" s="20"/>
      <c r="H263" s="27"/>
    </row>
    <row r="264" spans="3:8" x14ac:dyDescent="0.15">
      <c r="C264" s="26"/>
      <c r="D264" s="22"/>
      <c r="E264" s="20"/>
      <c r="F264" s="20"/>
      <c r="G264" s="20"/>
      <c r="H264" s="27"/>
    </row>
    <row r="265" spans="3:8" x14ac:dyDescent="0.15">
      <c r="C265" s="26"/>
      <c r="D265" s="22"/>
      <c r="E265" s="20"/>
      <c r="F265" s="20"/>
      <c r="G265" s="20"/>
      <c r="H265" s="27"/>
    </row>
    <row r="266" spans="3:8" x14ac:dyDescent="0.15">
      <c r="C266" s="26"/>
      <c r="D266" s="22"/>
      <c r="E266" s="20"/>
      <c r="F266" s="20"/>
      <c r="G266" s="20"/>
      <c r="H266" s="27"/>
    </row>
    <row r="267" spans="3:8" x14ac:dyDescent="0.15">
      <c r="C267" s="26"/>
      <c r="D267" s="22"/>
      <c r="E267" s="20"/>
      <c r="F267" s="20"/>
      <c r="G267" s="20"/>
      <c r="H267" s="27"/>
    </row>
    <row r="268" spans="3:8" x14ac:dyDescent="0.15">
      <c r="C268" s="26"/>
      <c r="D268" s="22"/>
      <c r="E268" s="20"/>
      <c r="F268" s="20"/>
      <c r="G268" s="20"/>
      <c r="H268" s="27"/>
    </row>
    <row r="269" spans="3:8" x14ac:dyDescent="0.15">
      <c r="C269" s="26"/>
      <c r="D269" s="22"/>
      <c r="E269" s="20"/>
      <c r="F269" s="20"/>
      <c r="G269" s="20"/>
      <c r="H269" s="27"/>
    </row>
    <row r="270" spans="3:8" x14ac:dyDescent="0.15">
      <c r="C270" s="26"/>
      <c r="D270" s="22"/>
      <c r="E270" s="20"/>
      <c r="F270" s="20"/>
      <c r="G270" s="20"/>
      <c r="H270" s="27"/>
    </row>
    <row r="271" spans="3:8" x14ac:dyDescent="0.15">
      <c r="C271" s="26"/>
      <c r="D271" s="22"/>
      <c r="E271" s="20"/>
      <c r="F271" s="20"/>
      <c r="G271" s="20"/>
      <c r="H271" s="27"/>
    </row>
    <row r="272" spans="3:8" x14ac:dyDescent="0.15">
      <c r="C272" s="26"/>
      <c r="D272" s="22"/>
      <c r="E272" s="20"/>
      <c r="F272" s="20"/>
      <c r="G272" s="20"/>
      <c r="H272" s="27"/>
    </row>
    <row r="273" spans="3:8" x14ac:dyDescent="0.15">
      <c r="C273" s="26"/>
      <c r="D273" s="22"/>
      <c r="E273" s="20"/>
      <c r="F273" s="20"/>
      <c r="G273" s="20"/>
      <c r="H273" s="27"/>
    </row>
    <row r="274" spans="3:8" x14ac:dyDescent="0.15">
      <c r="C274" s="26"/>
      <c r="D274" s="22"/>
      <c r="E274" s="20"/>
      <c r="F274" s="20"/>
      <c r="G274" s="20"/>
      <c r="H274" s="27"/>
    </row>
    <row r="275" spans="3:8" x14ac:dyDescent="0.15">
      <c r="C275" s="26"/>
      <c r="D275" s="22"/>
      <c r="E275" s="20"/>
      <c r="F275" s="20"/>
      <c r="G275" s="20"/>
      <c r="H275" s="27"/>
    </row>
    <row r="276" spans="3:8" x14ac:dyDescent="0.15">
      <c r="C276" s="26"/>
      <c r="D276" s="22"/>
      <c r="E276" s="20"/>
      <c r="F276" s="20"/>
      <c r="G276" s="20"/>
      <c r="H276" s="27"/>
    </row>
    <row r="277" spans="3:8" x14ac:dyDescent="0.15">
      <c r="C277" s="26"/>
      <c r="D277" s="22"/>
      <c r="E277" s="20"/>
      <c r="F277" s="20"/>
      <c r="G277" s="20"/>
      <c r="H277" s="27"/>
    </row>
    <row r="278" spans="3:8" x14ac:dyDescent="0.15">
      <c r="C278" s="26"/>
      <c r="D278" s="22"/>
      <c r="E278" s="20"/>
      <c r="F278" s="20"/>
      <c r="G278" s="20"/>
      <c r="H278" s="27"/>
    </row>
    <row r="279" spans="3:8" x14ac:dyDescent="0.15">
      <c r="C279" s="26"/>
      <c r="D279" s="22"/>
      <c r="E279" s="20"/>
      <c r="F279" s="20"/>
      <c r="G279" s="20"/>
      <c r="H279" s="27"/>
    </row>
    <row r="280" spans="3:8" x14ac:dyDescent="0.15">
      <c r="C280" s="26"/>
      <c r="D280" s="22"/>
      <c r="E280" s="20"/>
      <c r="F280" s="20"/>
      <c r="G280" s="20"/>
      <c r="H280" s="27"/>
    </row>
    <row r="281" spans="3:8" x14ac:dyDescent="0.15">
      <c r="C281" s="26"/>
      <c r="D281" s="22"/>
      <c r="E281" s="20"/>
      <c r="F281" s="20"/>
      <c r="G281" s="20"/>
      <c r="H281" s="27"/>
    </row>
    <row r="282" spans="3:8" x14ac:dyDescent="0.15">
      <c r="C282" s="26"/>
      <c r="D282" s="22"/>
      <c r="E282" s="20"/>
      <c r="F282" s="20"/>
      <c r="G282" s="20"/>
      <c r="H282" s="27"/>
    </row>
    <row r="283" spans="3:8" x14ac:dyDescent="0.15">
      <c r="C283" s="26"/>
      <c r="D283" s="22"/>
      <c r="E283" s="20"/>
      <c r="F283" s="20"/>
      <c r="G283" s="20"/>
      <c r="H283" s="27"/>
    </row>
    <row r="284" spans="3:8" x14ac:dyDescent="0.15">
      <c r="C284" s="26"/>
      <c r="D284" s="22"/>
      <c r="E284" s="20"/>
      <c r="F284" s="20"/>
      <c r="G284" s="20"/>
      <c r="H284" s="27"/>
    </row>
    <row r="285" spans="3:8" x14ac:dyDescent="0.15">
      <c r="C285" s="26"/>
      <c r="D285" s="22"/>
      <c r="E285" s="20"/>
      <c r="F285" s="20"/>
      <c r="G285" s="20"/>
      <c r="H285" s="27"/>
    </row>
    <row r="286" spans="3:8" x14ac:dyDescent="0.15">
      <c r="C286" s="26"/>
      <c r="D286" s="22"/>
      <c r="E286" s="20"/>
      <c r="F286" s="20"/>
      <c r="G286" s="20"/>
      <c r="H286" s="27"/>
    </row>
    <row r="287" spans="3:8" x14ac:dyDescent="0.15">
      <c r="C287" s="26"/>
      <c r="D287" s="22"/>
      <c r="E287" s="20"/>
      <c r="F287" s="20"/>
      <c r="G287" s="20"/>
      <c r="H287" s="27"/>
    </row>
    <row r="288" spans="3:8" x14ac:dyDescent="0.15">
      <c r="C288" s="26"/>
      <c r="D288" s="22"/>
      <c r="E288" s="20"/>
      <c r="F288" s="20"/>
      <c r="G288" s="20"/>
      <c r="H288" s="27"/>
    </row>
    <row r="289" spans="3:8" x14ac:dyDescent="0.15">
      <c r="C289" s="26"/>
      <c r="D289" s="22"/>
      <c r="E289" s="20"/>
      <c r="F289" s="20"/>
      <c r="G289" s="20"/>
      <c r="H289" s="27"/>
    </row>
    <row r="290" spans="3:8" x14ac:dyDescent="0.15">
      <c r="C290" s="26"/>
      <c r="D290" s="22"/>
      <c r="E290" s="20"/>
      <c r="F290" s="20"/>
      <c r="G290" s="20"/>
      <c r="H290" s="27"/>
    </row>
    <row r="291" spans="3:8" x14ac:dyDescent="0.15">
      <c r="C291" s="26"/>
      <c r="D291" s="22"/>
      <c r="E291" s="20"/>
      <c r="F291" s="20"/>
      <c r="G291" s="20"/>
      <c r="H291" s="27"/>
    </row>
    <row r="292" spans="3:8" x14ac:dyDescent="0.15">
      <c r="C292" s="26"/>
      <c r="D292" s="22"/>
      <c r="E292" s="20"/>
      <c r="F292" s="20"/>
      <c r="G292" s="20"/>
      <c r="H292" s="27"/>
    </row>
    <row r="293" spans="3:8" x14ac:dyDescent="0.15">
      <c r="C293" s="26"/>
      <c r="D293" s="22"/>
      <c r="E293" s="20"/>
      <c r="F293" s="20"/>
      <c r="G293" s="20"/>
      <c r="H293" s="27"/>
    </row>
    <row r="294" spans="3:8" x14ac:dyDescent="0.15">
      <c r="C294" s="26"/>
      <c r="D294" s="22"/>
      <c r="E294" s="20"/>
      <c r="F294" s="20"/>
      <c r="G294" s="20"/>
      <c r="H294" s="27"/>
    </row>
    <row r="295" spans="3:8" x14ac:dyDescent="0.15">
      <c r="C295" s="26"/>
      <c r="D295" s="22"/>
      <c r="E295" s="20"/>
      <c r="F295" s="20"/>
      <c r="G295" s="20"/>
      <c r="H295" s="27"/>
    </row>
    <row r="296" spans="3:8" x14ac:dyDescent="0.15">
      <c r="C296" s="26"/>
      <c r="D296" s="22"/>
      <c r="E296" s="20"/>
      <c r="F296" s="20"/>
      <c r="G296" s="20"/>
      <c r="H296" s="27"/>
    </row>
    <row r="297" spans="3:8" x14ac:dyDescent="0.15">
      <c r="C297" s="26"/>
      <c r="D297" s="22"/>
      <c r="E297" s="20"/>
      <c r="F297" s="20"/>
      <c r="G297" s="20"/>
      <c r="H297" s="27"/>
    </row>
    <row r="298" spans="3:8" x14ac:dyDescent="0.15">
      <c r="C298" s="26"/>
      <c r="D298" s="22"/>
      <c r="E298" s="20"/>
      <c r="F298" s="20"/>
      <c r="G298" s="20"/>
      <c r="H298" s="27"/>
    </row>
    <row r="299" spans="3:8" x14ac:dyDescent="0.15">
      <c r="C299" s="26"/>
      <c r="D299" s="22"/>
      <c r="E299" s="20"/>
      <c r="F299" s="20"/>
      <c r="G299" s="20"/>
      <c r="H299" s="27"/>
    </row>
    <row r="300" spans="3:8" x14ac:dyDescent="0.15">
      <c r="C300" s="26"/>
      <c r="D300" s="22"/>
      <c r="E300" s="20"/>
      <c r="F300" s="20"/>
      <c r="G300" s="20"/>
      <c r="H300" s="27"/>
    </row>
    <row r="301" spans="3:8" x14ac:dyDescent="0.15">
      <c r="C301" s="26"/>
      <c r="D301" s="22"/>
      <c r="E301" s="20"/>
      <c r="F301" s="20"/>
      <c r="G301" s="20"/>
      <c r="H301" s="27"/>
    </row>
    <row r="302" spans="3:8" x14ac:dyDescent="0.15">
      <c r="C302" s="26"/>
      <c r="D302" s="22"/>
      <c r="E302" s="20"/>
      <c r="F302" s="20"/>
      <c r="G302" s="20"/>
      <c r="H302" s="27"/>
    </row>
    <row r="303" spans="3:8" x14ac:dyDescent="0.15">
      <c r="C303" s="26"/>
      <c r="D303" s="22"/>
      <c r="E303" s="20"/>
      <c r="F303" s="20"/>
      <c r="G303" s="20"/>
      <c r="H303" s="27"/>
    </row>
    <row r="304" spans="3:8" x14ac:dyDescent="0.15">
      <c r="C304" s="26"/>
      <c r="D304" s="22"/>
      <c r="E304" s="20"/>
      <c r="F304" s="20"/>
      <c r="G304" s="20"/>
      <c r="H304" s="27"/>
    </row>
    <row r="305" spans="3:8" x14ac:dyDescent="0.15">
      <c r="C305" s="26"/>
      <c r="D305" s="22"/>
      <c r="E305" s="20"/>
      <c r="F305" s="20"/>
      <c r="G305" s="20"/>
      <c r="H305" s="27"/>
    </row>
    <row r="306" spans="3:8" x14ac:dyDescent="0.15">
      <c r="C306" s="26"/>
      <c r="D306" s="22"/>
      <c r="E306" s="20"/>
      <c r="F306" s="20"/>
      <c r="G306" s="20"/>
      <c r="H306" s="27"/>
    </row>
    <row r="307" spans="3:8" x14ac:dyDescent="0.15">
      <c r="C307" s="26"/>
      <c r="D307" s="22"/>
      <c r="E307" s="20"/>
      <c r="F307" s="20"/>
      <c r="G307" s="20"/>
      <c r="H307" s="27"/>
    </row>
    <row r="308" spans="3:8" x14ac:dyDescent="0.15">
      <c r="C308" s="26"/>
      <c r="D308" s="22"/>
      <c r="E308" s="20"/>
      <c r="F308" s="20"/>
      <c r="G308" s="20"/>
      <c r="H308" s="27"/>
    </row>
    <row r="309" spans="3:8" x14ac:dyDescent="0.15">
      <c r="C309" s="26"/>
      <c r="D309" s="22"/>
      <c r="E309" s="20"/>
      <c r="F309" s="20"/>
      <c r="G309" s="20"/>
      <c r="H309" s="27"/>
    </row>
    <row r="310" spans="3:8" x14ac:dyDescent="0.15">
      <c r="C310" s="26"/>
      <c r="D310" s="22"/>
      <c r="E310" s="20"/>
      <c r="F310" s="20"/>
      <c r="G310" s="20"/>
      <c r="H310" s="27"/>
    </row>
    <row r="311" spans="3:8" x14ac:dyDescent="0.15">
      <c r="C311" s="26"/>
      <c r="D311" s="22"/>
      <c r="E311" s="20"/>
      <c r="F311" s="20"/>
      <c r="G311" s="20"/>
      <c r="H311" s="27"/>
    </row>
    <row r="312" spans="3:8" x14ac:dyDescent="0.15">
      <c r="C312" s="26"/>
      <c r="D312" s="22"/>
      <c r="E312" s="20"/>
      <c r="F312" s="20"/>
      <c r="G312" s="20"/>
      <c r="H312" s="27"/>
    </row>
    <row r="313" spans="3:8" x14ac:dyDescent="0.15">
      <c r="C313" s="26"/>
      <c r="D313" s="22"/>
      <c r="E313" s="20"/>
      <c r="F313" s="20"/>
      <c r="G313" s="20"/>
      <c r="H313" s="27"/>
    </row>
    <row r="314" spans="3:8" x14ac:dyDescent="0.15">
      <c r="C314" s="26"/>
      <c r="D314" s="22"/>
      <c r="E314" s="20"/>
      <c r="F314" s="20"/>
      <c r="G314" s="20"/>
      <c r="H314" s="27"/>
    </row>
    <row r="315" spans="3:8" x14ac:dyDescent="0.15">
      <c r="C315" s="26"/>
      <c r="D315" s="22"/>
      <c r="E315" s="20"/>
      <c r="F315" s="20"/>
      <c r="G315" s="20"/>
      <c r="H315" s="27"/>
    </row>
    <row r="316" spans="3:8" x14ac:dyDescent="0.15">
      <c r="C316" s="26"/>
      <c r="D316" s="22"/>
      <c r="E316" s="20"/>
      <c r="F316" s="20"/>
      <c r="G316" s="20"/>
      <c r="H316" s="27"/>
    </row>
    <row r="317" spans="3:8" x14ac:dyDescent="0.15">
      <c r="C317" s="26"/>
      <c r="D317" s="22"/>
      <c r="E317" s="20"/>
      <c r="F317" s="20"/>
      <c r="G317" s="20"/>
      <c r="H317" s="27"/>
    </row>
    <row r="318" spans="3:8" x14ac:dyDescent="0.15">
      <c r="C318" s="26"/>
      <c r="D318" s="22"/>
      <c r="E318" s="20"/>
      <c r="F318" s="20"/>
      <c r="G318" s="20"/>
      <c r="H318" s="27"/>
    </row>
    <row r="319" spans="3:8" x14ac:dyDescent="0.15">
      <c r="C319" s="26"/>
      <c r="D319" s="22"/>
      <c r="E319" s="20"/>
      <c r="F319" s="20"/>
      <c r="G319" s="20"/>
      <c r="H319" s="27"/>
    </row>
    <row r="320" spans="3:8" x14ac:dyDescent="0.15">
      <c r="C320" s="26"/>
      <c r="D320" s="22"/>
      <c r="E320" s="20"/>
      <c r="F320" s="20"/>
      <c r="G320" s="20"/>
      <c r="H320" s="27"/>
    </row>
    <row r="321" spans="3:8" x14ac:dyDescent="0.15">
      <c r="C321" s="26"/>
      <c r="D321" s="22"/>
      <c r="E321" s="20"/>
      <c r="F321" s="20"/>
      <c r="G321" s="20"/>
      <c r="H321" s="27"/>
    </row>
    <row r="322" spans="3:8" x14ac:dyDescent="0.15">
      <c r="C322" s="26"/>
      <c r="D322" s="22"/>
      <c r="E322" s="20"/>
      <c r="F322" s="20"/>
      <c r="G322" s="20"/>
      <c r="H322" s="27"/>
    </row>
    <row r="323" spans="3:8" x14ac:dyDescent="0.15">
      <c r="C323" s="26"/>
      <c r="D323" s="22"/>
      <c r="E323" s="20"/>
      <c r="F323" s="20"/>
      <c r="G323" s="20"/>
      <c r="H323" s="27"/>
    </row>
    <row r="324" spans="3:8" x14ac:dyDescent="0.15">
      <c r="C324" s="26"/>
      <c r="D324" s="22"/>
      <c r="E324" s="20"/>
      <c r="F324" s="20"/>
      <c r="G324" s="20"/>
      <c r="H324" s="27"/>
    </row>
    <row r="325" spans="3:8" x14ac:dyDescent="0.15">
      <c r="C325" s="26"/>
      <c r="D325" s="22"/>
      <c r="E325" s="20"/>
      <c r="F325" s="20"/>
      <c r="G325" s="20"/>
      <c r="H325" s="27"/>
    </row>
    <row r="326" spans="3:8" x14ac:dyDescent="0.15">
      <c r="C326" s="26"/>
      <c r="D326" s="22"/>
      <c r="E326" s="20"/>
      <c r="F326" s="20"/>
      <c r="G326" s="20"/>
      <c r="H326" s="27"/>
    </row>
    <row r="327" spans="3:8" x14ac:dyDescent="0.15">
      <c r="C327" s="26"/>
      <c r="D327" s="22"/>
      <c r="E327" s="20"/>
      <c r="F327" s="20"/>
      <c r="G327" s="20"/>
      <c r="H327" s="27"/>
    </row>
    <row r="328" spans="3:8" x14ac:dyDescent="0.15">
      <c r="C328" s="26"/>
      <c r="D328" s="22"/>
      <c r="E328" s="20"/>
      <c r="F328" s="20"/>
      <c r="G328" s="20"/>
      <c r="H328" s="27"/>
    </row>
    <row r="329" spans="3:8" x14ac:dyDescent="0.15">
      <c r="C329" s="26"/>
      <c r="D329" s="22"/>
      <c r="E329" s="20"/>
      <c r="F329" s="20"/>
      <c r="G329" s="20"/>
      <c r="H329" s="27"/>
    </row>
    <row r="330" spans="3:8" x14ac:dyDescent="0.15">
      <c r="C330" s="26"/>
      <c r="D330" s="22"/>
      <c r="E330" s="20"/>
      <c r="F330" s="20"/>
      <c r="G330" s="20"/>
      <c r="H330" s="27"/>
    </row>
    <row r="331" spans="3:8" x14ac:dyDescent="0.15">
      <c r="C331" s="26"/>
      <c r="D331" s="22"/>
      <c r="E331" s="20"/>
      <c r="F331" s="20"/>
      <c r="G331" s="20"/>
      <c r="H331" s="27"/>
    </row>
    <row r="332" spans="3:8" x14ac:dyDescent="0.15">
      <c r="C332" s="26"/>
      <c r="D332" s="22"/>
      <c r="E332" s="20"/>
      <c r="F332" s="20"/>
      <c r="G332" s="20"/>
      <c r="H332" s="27"/>
    </row>
    <row r="333" spans="3:8" x14ac:dyDescent="0.15">
      <c r="C333" s="26"/>
      <c r="D333" s="22"/>
      <c r="E333" s="20"/>
      <c r="F333" s="20"/>
      <c r="G333" s="20"/>
      <c r="H333" s="27"/>
    </row>
    <row r="334" spans="3:8" x14ac:dyDescent="0.15">
      <c r="C334" s="26"/>
      <c r="D334" s="22"/>
      <c r="E334" s="20"/>
      <c r="F334" s="20"/>
      <c r="G334" s="20"/>
      <c r="H334" s="27"/>
    </row>
    <row r="335" spans="3:8" x14ac:dyDescent="0.15">
      <c r="C335" s="26"/>
      <c r="D335" s="22"/>
      <c r="E335" s="20"/>
      <c r="F335" s="20"/>
      <c r="G335" s="20"/>
      <c r="H335" s="27"/>
    </row>
    <row r="336" spans="3:8" x14ac:dyDescent="0.15">
      <c r="C336" s="26"/>
      <c r="D336" s="22"/>
      <c r="E336" s="20"/>
      <c r="F336" s="20"/>
      <c r="G336" s="20"/>
      <c r="H336" s="27"/>
    </row>
    <row r="337" spans="3:8" x14ac:dyDescent="0.15">
      <c r="C337" s="26"/>
      <c r="D337" s="22"/>
      <c r="E337" s="20"/>
      <c r="F337" s="20"/>
      <c r="G337" s="20"/>
      <c r="H337" s="27"/>
    </row>
    <row r="338" spans="3:8" x14ac:dyDescent="0.15">
      <c r="C338" s="26"/>
      <c r="D338" s="22"/>
      <c r="E338" s="20"/>
      <c r="F338" s="20"/>
      <c r="G338" s="20"/>
      <c r="H338" s="27"/>
    </row>
    <row r="339" spans="3:8" x14ac:dyDescent="0.15">
      <c r="C339" s="26"/>
      <c r="D339" s="22"/>
      <c r="E339" s="20"/>
      <c r="F339" s="20"/>
      <c r="G339" s="20"/>
      <c r="H339" s="27"/>
    </row>
    <row r="340" spans="3:8" x14ac:dyDescent="0.15">
      <c r="C340" s="26"/>
      <c r="D340" s="22"/>
      <c r="E340" s="20"/>
      <c r="F340" s="20"/>
      <c r="G340" s="20"/>
      <c r="H340" s="27"/>
    </row>
    <row r="341" spans="3:8" x14ac:dyDescent="0.15">
      <c r="C341" s="26"/>
      <c r="D341" s="22"/>
      <c r="E341" s="20"/>
      <c r="F341" s="20"/>
      <c r="G341" s="20"/>
      <c r="H341" s="27"/>
    </row>
    <row r="342" spans="3:8" x14ac:dyDescent="0.15">
      <c r="C342" s="26"/>
      <c r="D342" s="22"/>
      <c r="E342" s="20"/>
      <c r="F342" s="20"/>
      <c r="G342" s="20"/>
      <c r="H342" s="27"/>
    </row>
    <row r="343" spans="3:8" x14ac:dyDescent="0.15">
      <c r="C343" s="26"/>
      <c r="D343" s="22"/>
      <c r="E343" s="20"/>
      <c r="F343" s="20"/>
      <c r="G343" s="20"/>
      <c r="H343" s="27"/>
    </row>
    <row r="344" spans="3:8" x14ac:dyDescent="0.15">
      <c r="C344" s="26"/>
      <c r="D344" s="22"/>
      <c r="E344" s="20"/>
      <c r="F344" s="20"/>
      <c r="G344" s="20"/>
      <c r="H344" s="27"/>
    </row>
    <row r="345" spans="3:8" x14ac:dyDescent="0.15">
      <c r="C345" s="26"/>
      <c r="D345" s="22"/>
      <c r="E345" s="20"/>
      <c r="F345" s="20"/>
      <c r="G345" s="20"/>
      <c r="H345" s="27"/>
    </row>
    <row r="346" spans="3:8" x14ac:dyDescent="0.15">
      <c r="C346" s="26"/>
      <c r="D346" s="22"/>
      <c r="E346" s="20"/>
      <c r="F346" s="20"/>
      <c r="G346" s="20"/>
      <c r="H346" s="27"/>
    </row>
    <row r="347" spans="3:8" x14ac:dyDescent="0.15">
      <c r="C347" s="26"/>
      <c r="D347" s="22"/>
      <c r="E347" s="20"/>
      <c r="F347" s="20"/>
      <c r="G347" s="20"/>
      <c r="H347" s="27"/>
    </row>
    <row r="348" spans="3:8" x14ac:dyDescent="0.15">
      <c r="C348" s="26"/>
      <c r="D348" s="22"/>
      <c r="E348" s="20"/>
      <c r="F348" s="20"/>
      <c r="G348" s="20"/>
      <c r="H348" s="27"/>
    </row>
    <row r="349" spans="3:8" x14ac:dyDescent="0.15">
      <c r="C349" s="26"/>
      <c r="D349" s="22"/>
      <c r="E349" s="20"/>
      <c r="F349" s="20"/>
      <c r="G349" s="20"/>
      <c r="H349" s="27"/>
    </row>
    <row r="350" spans="3:8" x14ac:dyDescent="0.15">
      <c r="C350" s="26"/>
      <c r="D350" s="22"/>
      <c r="E350" s="20"/>
      <c r="F350" s="20"/>
      <c r="G350" s="20"/>
      <c r="H350" s="27"/>
    </row>
    <row r="351" spans="3:8" x14ac:dyDescent="0.15">
      <c r="C351" s="26"/>
      <c r="D351" s="22"/>
      <c r="E351" s="20"/>
      <c r="F351" s="20"/>
      <c r="G351" s="20"/>
      <c r="H351" s="27"/>
    </row>
    <row r="352" spans="3:8" x14ac:dyDescent="0.15">
      <c r="C352" s="26"/>
      <c r="D352" s="22"/>
      <c r="E352" s="20"/>
      <c r="F352" s="20"/>
      <c r="G352" s="20"/>
      <c r="H352" s="27"/>
    </row>
    <row r="353" spans="3:8" x14ac:dyDescent="0.15">
      <c r="C353" s="26"/>
      <c r="D353" s="22"/>
      <c r="E353" s="20"/>
      <c r="F353" s="20"/>
      <c r="G353" s="20"/>
      <c r="H353" s="27"/>
    </row>
    <row r="354" spans="3:8" x14ac:dyDescent="0.15">
      <c r="C354" s="26"/>
      <c r="D354" s="22"/>
      <c r="E354" s="20"/>
      <c r="F354" s="20"/>
      <c r="G354" s="20"/>
      <c r="H354" s="27"/>
    </row>
    <row r="355" spans="3:8" x14ac:dyDescent="0.15">
      <c r="C355" s="26"/>
      <c r="D355" s="22"/>
      <c r="E355" s="20"/>
      <c r="F355" s="20"/>
      <c r="G355" s="20"/>
      <c r="H355" s="27"/>
    </row>
    <row r="356" spans="3:8" x14ac:dyDescent="0.15">
      <c r="C356" s="26"/>
      <c r="D356" s="22"/>
      <c r="E356" s="20"/>
      <c r="F356" s="20"/>
      <c r="G356" s="20"/>
      <c r="H356" s="27"/>
    </row>
    <row r="357" spans="3:8" x14ac:dyDescent="0.15">
      <c r="C357" s="26"/>
      <c r="D357" s="22"/>
      <c r="E357" s="20"/>
      <c r="F357" s="20"/>
      <c r="G357" s="20"/>
      <c r="H357" s="27"/>
    </row>
    <row r="358" spans="3:8" x14ac:dyDescent="0.15">
      <c r="C358" s="26"/>
      <c r="D358" s="22"/>
      <c r="E358" s="20"/>
      <c r="F358" s="20"/>
      <c r="G358" s="20"/>
      <c r="H358" s="27"/>
    </row>
    <row r="359" spans="3:8" x14ac:dyDescent="0.15">
      <c r="C359" s="26"/>
      <c r="D359" s="22"/>
      <c r="E359" s="20"/>
      <c r="F359" s="20"/>
      <c r="G359" s="20"/>
      <c r="H359" s="27"/>
    </row>
    <row r="360" spans="3:8" x14ac:dyDescent="0.15">
      <c r="C360" s="26"/>
      <c r="D360" s="22"/>
      <c r="E360" s="20"/>
      <c r="F360" s="20"/>
      <c r="G360" s="20"/>
      <c r="H360" s="27"/>
    </row>
    <row r="361" spans="3:8" x14ac:dyDescent="0.15">
      <c r="C361" s="26"/>
      <c r="D361" s="22"/>
      <c r="E361" s="20"/>
      <c r="F361" s="20"/>
      <c r="G361" s="20"/>
      <c r="H361" s="27"/>
    </row>
    <row r="362" spans="3:8" x14ac:dyDescent="0.15">
      <c r="C362" s="26"/>
      <c r="D362" s="22"/>
      <c r="E362" s="20"/>
      <c r="F362" s="20"/>
      <c r="G362" s="20"/>
      <c r="H362" s="27"/>
    </row>
    <row r="363" spans="3:8" x14ac:dyDescent="0.15">
      <c r="C363" s="26"/>
      <c r="D363" s="22"/>
      <c r="E363" s="20"/>
      <c r="F363" s="20"/>
      <c r="G363" s="20"/>
      <c r="H363" s="27"/>
    </row>
    <row r="364" spans="3:8" x14ac:dyDescent="0.15">
      <c r="C364" s="26"/>
      <c r="D364" s="22"/>
      <c r="E364" s="20"/>
      <c r="F364" s="20"/>
      <c r="G364" s="20"/>
      <c r="H364" s="27"/>
    </row>
    <row r="365" spans="3:8" x14ac:dyDescent="0.15">
      <c r="C365" s="26"/>
      <c r="D365" s="22"/>
      <c r="E365" s="20"/>
      <c r="F365" s="20"/>
      <c r="G365" s="20"/>
      <c r="H365" s="27"/>
    </row>
    <row r="366" spans="3:8" x14ac:dyDescent="0.15">
      <c r="C366" s="26"/>
      <c r="D366" s="22"/>
      <c r="E366" s="20"/>
      <c r="F366" s="20"/>
      <c r="G366" s="20"/>
      <c r="H366" s="27"/>
    </row>
    <row r="367" spans="3:8" x14ac:dyDescent="0.15">
      <c r="C367" s="26"/>
      <c r="D367" s="22"/>
      <c r="E367" s="20"/>
      <c r="F367" s="20"/>
      <c r="G367" s="20"/>
      <c r="H367" s="27"/>
    </row>
    <row r="368" spans="3:8" x14ac:dyDescent="0.15">
      <c r="C368" s="26"/>
      <c r="D368" s="22"/>
      <c r="E368" s="20"/>
      <c r="F368" s="20"/>
      <c r="G368" s="20"/>
      <c r="H368" s="27"/>
    </row>
    <row r="369" spans="3:8" x14ac:dyDescent="0.15">
      <c r="C369" s="26"/>
      <c r="D369" s="22"/>
      <c r="E369" s="20"/>
      <c r="F369" s="20"/>
      <c r="G369" s="20"/>
      <c r="H369" s="27"/>
    </row>
    <row r="370" spans="3:8" x14ac:dyDescent="0.15">
      <c r="C370" s="26"/>
      <c r="D370" s="22"/>
      <c r="E370" s="20"/>
      <c r="F370" s="20"/>
      <c r="G370" s="20"/>
      <c r="H370" s="27"/>
    </row>
    <row r="371" spans="3:8" x14ac:dyDescent="0.15">
      <c r="C371" s="26"/>
      <c r="D371" s="22"/>
      <c r="E371" s="20"/>
      <c r="F371" s="20"/>
      <c r="G371" s="20"/>
      <c r="H371" s="27"/>
    </row>
    <row r="372" spans="3:8" x14ac:dyDescent="0.15">
      <c r="C372" s="26"/>
      <c r="D372" s="22"/>
      <c r="E372" s="20"/>
      <c r="F372" s="20"/>
      <c r="G372" s="20"/>
      <c r="H372" s="27"/>
    </row>
    <row r="373" spans="3:8" x14ac:dyDescent="0.15">
      <c r="C373" s="26"/>
      <c r="D373" s="22"/>
      <c r="E373" s="20"/>
      <c r="F373" s="20"/>
      <c r="G373" s="20"/>
      <c r="H373" s="27"/>
    </row>
    <row r="374" spans="3:8" x14ac:dyDescent="0.15">
      <c r="C374" s="26"/>
      <c r="D374" s="22"/>
      <c r="E374" s="20"/>
      <c r="F374" s="20"/>
      <c r="G374" s="20"/>
      <c r="H374" s="27"/>
    </row>
    <row r="375" spans="3:8" x14ac:dyDescent="0.15">
      <c r="C375" s="26"/>
      <c r="D375" s="22"/>
      <c r="E375" s="20"/>
      <c r="F375" s="20"/>
      <c r="G375" s="20"/>
      <c r="H375" s="27"/>
    </row>
    <row r="376" spans="3:8" x14ac:dyDescent="0.15">
      <c r="C376" s="26"/>
      <c r="D376" s="22"/>
      <c r="E376" s="20"/>
      <c r="F376" s="20"/>
      <c r="G376" s="20"/>
      <c r="H376" s="27"/>
    </row>
    <row r="377" spans="3:8" x14ac:dyDescent="0.15">
      <c r="C377" s="26"/>
      <c r="D377" s="22"/>
      <c r="E377" s="20"/>
      <c r="F377" s="20"/>
      <c r="G377" s="20"/>
      <c r="H377" s="27"/>
    </row>
    <row r="378" spans="3:8" x14ac:dyDescent="0.15">
      <c r="C378" s="26"/>
      <c r="D378" s="22"/>
      <c r="E378" s="20"/>
      <c r="F378" s="20"/>
      <c r="G378" s="20"/>
      <c r="H378" s="27"/>
    </row>
    <row r="379" spans="3:8" x14ac:dyDescent="0.15">
      <c r="C379" s="26"/>
      <c r="D379" s="22"/>
      <c r="E379" s="20"/>
      <c r="F379" s="20"/>
      <c r="G379" s="20"/>
      <c r="H379" s="27"/>
    </row>
    <row r="380" spans="3:8" x14ac:dyDescent="0.15">
      <c r="C380" s="26"/>
      <c r="D380" s="22"/>
      <c r="E380" s="20"/>
      <c r="F380" s="20"/>
      <c r="G380" s="20"/>
      <c r="H380" s="27"/>
    </row>
    <row r="381" spans="3:8" x14ac:dyDescent="0.15">
      <c r="C381" s="26"/>
      <c r="D381" s="22"/>
      <c r="E381" s="20"/>
      <c r="F381" s="20"/>
      <c r="G381" s="20"/>
      <c r="H381" s="27"/>
    </row>
    <row r="382" spans="3:8" x14ac:dyDescent="0.15">
      <c r="C382" s="26"/>
      <c r="D382" s="22"/>
      <c r="E382" s="20"/>
      <c r="F382" s="20"/>
      <c r="G382" s="20"/>
      <c r="H382" s="27"/>
    </row>
    <row r="383" spans="3:8" x14ac:dyDescent="0.15">
      <c r="C383" s="26"/>
      <c r="D383" s="22"/>
      <c r="E383" s="20"/>
      <c r="F383" s="20"/>
      <c r="G383" s="20"/>
      <c r="H383" s="27"/>
    </row>
    <row r="384" spans="3:8" x14ac:dyDescent="0.15">
      <c r="C384" s="26"/>
      <c r="D384" s="22"/>
      <c r="E384" s="20"/>
      <c r="F384" s="20"/>
      <c r="G384" s="20"/>
      <c r="H384" s="27"/>
    </row>
    <row r="385" spans="3:8" x14ac:dyDescent="0.15">
      <c r="C385" s="26"/>
      <c r="D385" s="22"/>
      <c r="E385" s="20"/>
      <c r="F385" s="20"/>
      <c r="G385" s="20"/>
      <c r="H385" s="27"/>
    </row>
    <row r="386" spans="3:8" x14ac:dyDescent="0.15">
      <c r="C386" s="26"/>
      <c r="D386" s="22"/>
      <c r="E386" s="20"/>
      <c r="F386" s="20"/>
      <c r="G386" s="20"/>
      <c r="H386" s="27"/>
    </row>
    <row r="387" spans="3:8" x14ac:dyDescent="0.15">
      <c r="C387" s="26"/>
      <c r="D387" s="22"/>
      <c r="E387" s="20"/>
      <c r="F387" s="20"/>
      <c r="G387" s="20"/>
      <c r="H387" s="27"/>
    </row>
    <row r="388" spans="3:8" x14ac:dyDescent="0.15">
      <c r="C388" s="26"/>
      <c r="D388" s="22"/>
      <c r="E388" s="20"/>
      <c r="F388" s="20"/>
      <c r="G388" s="20"/>
      <c r="H388" s="27"/>
    </row>
    <row r="389" spans="3:8" x14ac:dyDescent="0.15">
      <c r="C389" s="26"/>
      <c r="D389" s="22"/>
      <c r="E389" s="20"/>
      <c r="F389" s="20"/>
      <c r="G389" s="20"/>
      <c r="H389" s="27"/>
    </row>
    <row r="390" spans="3:8" x14ac:dyDescent="0.15">
      <c r="C390" s="26"/>
      <c r="D390" s="22"/>
      <c r="E390" s="20"/>
      <c r="F390" s="20"/>
      <c r="G390" s="20"/>
      <c r="H390" s="27"/>
    </row>
    <row r="391" spans="3:8" x14ac:dyDescent="0.15">
      <c r="C391" s="26"/>
      <c r="D391" s="22"/>
      <c r="E391" s="20"/>
      <c r="F391" s="20"/>
      <c r="G391" s="20"/>
      <c r="H391" s="27"/>
    </row>
    <row r="392" spans="3:8" x14ac:dyDescent="0.15">
      <c r="C392" s="26"/>
      <c r="D392" s="22"/>
      <c r="E392" s="20"/>
      <c r="F392" s="20"/>
      <c r="G392" s="20"/>
      <c r="H392" s="27"/>
    </row>
    <row r="393" spans="3:8" x14ac:dyDescent="0.15">
      <c r="C393" s="26"/>
      <c r="D393" s="22"/>
      <c r="E393" s="20"/>
      <c r="F393" s="20"/>
      <c r="G393" s="20"/>
      <c r="H393" s="27"/>
    </row>
    <row r="394" spans="3:8" x14ac:dyDescent="0.15">
      <c r="C394" s="26"/>
      <c r="D394" s="22"/>
      <c r="E394" s="20"/>
      <c r="F394" s="20"/>
      <c r="G394" s="20"/>
      <c r="H394" s="27"/>
    </row>
    <row r="395" spans="3:8" x14ac:dyDescent="0.15">
      <c r="C395" s="26"/>
      <c r="D395" s="22"/>
      <c r="E395" s="20"/>
      <c r="F395" s="20"/>
      <c r="G395" s="20"/>
      <c r="H395" s="27"/>
    </row>
    <row r="396" spans="3:8" x14ac:dyDescent="0.15">
      <c r="C396" s="26"/>
      <c r="D396" s="22"/>
      <c r="E396" s="20"/>
      <c r="F396" s="20"/>
      <c r="G396" s="20"/>
      <c r="H396" s="27"/>
    </row>
    <row r="397" spans="3:8" x14ac:dyDescent="0.15">
      <c r="C397" s="26"/>
      <c r="D397" s="22"/>
      <c r="E397" s="20"/>
      <c r="F397" s="20"/>
      <c r="G397" s="20"/>
      <c r="H397" s="27"/>
    </row>
    <row r="398" spans="3:8" x14ac:dyDescent="0.15">
      <c r="C398" s="26"/>
      <c r="D398" s="22"/>
      <c r="E398" s="20"/>
      <c r="F398" s="20"/>
      <c r="G398" s="20"/>
      <c r="H398" s="27"/>
    </row>
    <row r="399" spans="3:8" x14ac:dyDescent="0.15">
      <c r="C399" s="26"/>
      <c r="D399" s="22"/>
      <c r="E399" s="20"/>
      <c r="F399" s="20"/>
      <c r="G399" s="20"/>
      <c r="H399" s="27"/>
    </row>
    <row r="400" spans="3:8" x14ac:dyDescent="0.15">
      <c r="C400" s="26"/>
      <c r="D400" s="22"/>
      <c r="E400" s="20"/>
      <c r="F400" s="20"/>
      <c r="G400" s="20"/>
      <c r="H400" s="27"/>
    </row>
    <row r="401" spans="3:8" x14ac:dyDescent="0.15">
      <c r="C401" s="26"/>
      <c r="D401" s="22"/>
      <c r="E401" s="20"/>
      <c r="F401" s="20"/>
      <c r="G401" s="20"/>
      <c r="H401" s="27"/>
    </row>
    <row r="402" spans="3:8" x14ac:dyDescent="0.15">
      <c r="C402" s="26"/>
      <c r="D402" s="22"/>
      <c r="E402" s="20"/>
      <c r="F402" s="20"/>
      <c r="G402" s="20"/>
      <c r="H402" s="27"/>
    </row>
    <row r="403" spans="3:8" x14ac:dyDescent="0.15">
      <c r="C403" s="26"/>
      <c r="D403" s="22"/>
      <c r="E403" s="20"/>
      <c r="F403" s="20"/>
      <c r="G403" s="20"/>
      <c r="H403" s="27"/>
    </row>
    <row r="404" spans="3:8" x14ac:dyDescent="0.15">
      <c r="C404" s="26"/>
      <c r="D404" s="22"/>
      <c r="E404" s="20"/>
      <c r="F404" s="20"/>
      <c r="G404" s="20"/>
      <c r="H404" s="27"/>
    </row>
    <row r="405" spans="3:8" x14ac:dyDescent="0.15">
      <c r="C405" s="26"/>
      <c r="D405" s="22"/>
      <c r="E405" s="20"/>
      <c r="F405" s="20"/>
      <c r="G405" s="20"/>
      <c r="H405" s="27"/>
    </row>
    <row r="406" spans="3:8" x14ac:dyDescent="0.15">
      <c r="C406" s="26"/>
      <c r="D406" s="22"/>
      <c r="E406" s="20"/>
      <c r="F406" s="20"/>
      <c r="G406" s="20"/>
      <c r="H406" s="27"/>
    </row>
    <row r="407" spans="3:8" x14ac:dyDescent="0.15">
      <c r="C407" s="26"/>
      <c r="D407" s="22"/>
      <c r="E407" s="20"/>
      <c r="F407" s="20"/>
      <c r="G407" s="20"/>
      <c r="H407" s="27"/>
    </row>
    <row r="408" spans="3:8" x14ac:dyDescent="0.15">
      <c r="C408" s="26"/>
      <c r="D408" s="22"/>
      <c r="E408" s="20"/>
      <c r="F408" s="20"/>
      <c r="G408" s="20"/>
      <c r="H408" s="27"/>
    </row>
    <row r="409" spans="3:8" x14ac:dyDescent="0.15">
      <c r="C409" s="26"/>
      <c r="D409" s="22"/>
      <c r="E409" s="20"/>
      <c r="F409" s="20"/>
      <c r="G409" s="20"/>
      <c r="H409" s="27"/>
    </row>
    <row r="410" spans="3:8" x14ac:dyDescent="0.15">
      <c r="C410" s="26"/>
      <c r="D410" s="22"/>
      <c r="E410" s="20"/>
      <c r="F410" s="20"/>
      <c r="G410" s="20"/>
      <c r="H410" s="27"/>
    </row>
    <row r="411" spans="3:8" x14ac:dyDescent="0.15">
      <c r="C411" s="26"/>
      <c r="D411" s="22"/>
      <c r="E411" s="20"/>
      <c r="F411" s="20"/>
      <c r="G411" s="20"/>
      <c r="H411" s="27"/>
    </row>
    <row r="412" spans="3:8" x14ac:dyDescent="0.15">
      <c r="C412" s="26"/>
      <c r="D412" s="22"/>
      <c r="E412" s="20"/>
      <c r="F412" s="20"/>
      <c r="G412" s="20"/>
      <c r="H412" s="27"/>
    </row>
    <row r="413" spans="3:8" x14ac:dyDescent="0.15">
      <c r="C413" s="26"/>
      <c r="D413" s="22"/>
      <c r="E413" s="20"/>
      <c r="F413" s="20"/>
      <c r="G413" s="20"/>
      <c r="H413" s="27"/>
    </row>
    <row r="414" spans="3:8" x14ac:dyDescent="0.15">
      <c r="C414" s="26"/>
      <c r="D414" s="22"/>
      <c r="E414" s="20"/>
      <c r="F414" s="20"/>
      <c r="G414" s="20"/>
      <c r="H414" s="27"/>
    </row>
    <row r="415" spans="3:8" x14ac:dyDescent="0.15">
      <c r="C415" s="26"/>
      <c r="D415" s="22"/>
      <c r="E415" s="20"/>
      <c r="F415" s="20"/>
      <c r="G415" s="20"/>
      <c r="H415" s="27"/>
    </row>
    <row r="416" spans="3:8" x14ac:dyDescent="0.15">
      <c r="C416" s="26"/>
      <c r="D416" s="22"/>
      <c r="E416" s="20"/>
      <c r="F416" s="20"/>
      <c r="G416" s="20"/>
      <c r="H416" s="27"/>
    </row>
    <row r="417" spans="3:8" x14ac:dyDescent="0.15">
      <c r="C417" s="26"/>
      <c r="D417" s="22"/>
      <c r="E417" s="20"/>
      <c r="F417" s="20"/>
      <c r="G417" s="20"/>
      <c r="H417" s="27"/>
    </row>
    <row r="418" spans="3:8" x14ac:dyDescent="0.15">
      <c r="C418" s="26"/>
      <c r="D418" s="22"/>
      <c r="E418" s="20"/>
      <c r="F418" s="20"/>
      <c r="G418" s="20"/>
      <c r="H418" s="27"/>
    </row>
    <row r="419" spans="3:8" x14ac:dyDescent="0.15">
      <c r="C419" s="26"/>
      <c r="D419" s="22"/>
      <c r="E419" s="20"/>
      <c r="F419" s="20"/>
      <c r="G419" s="20"/>
      <c r="H419" s="27"/>
    </row>
    <row r="420" spans="3:8" x14ac:dyDescent="0.15">
      <c r="C420" s="26"/>
      <c r="D420" s="22"/>
      <c r="E420" s="20"/>
      <c r="F420" s="20"/>
      <c r="G420" s="20"/>
      <c r="H420" s="27"/>
    </row>
    <row r="421" spans="3:8" x14ac:dyDescent="0.15">
      <c r="C421" s="26"/>
      <c r="D421" s="22"/>
      <c r="E421" s="20"/>
      <c r="F421" s="20"/>
      <c r="G421" s="20"/>
      <c r="H421" s="27"/>
    </row>
    <row r="422" spans="3:8" x14ac:dyDescent="0.15">
      <c r="C422" s="26"/>
      <c r="D422" s="22"/>
      <c r="E422" s="20"/>
      <c r="F422" s="20"/>
      <c r="G422" s="20"/>
      <c r="H422" s="27"/>
    </row>
    <row r="423" spans="3:8" x14ac:dyDescent="0.15">
      <c r="C423" s="26"/>
      <c r="D423" s="22"/>
      <c r="E423" s="20"/>
      <c r="F423" s="20"/>
      <c r="G423" s="20"/>
      <c r="H423" s="27"/>
    </row>
    <row r="424" spans="3:8" x14ac:dyDescent="0.15">
      <c r="C424" s="26"/>
      <c r="D424" s="22"/>
      <c r="E424" s="20"/>
      <c r="F424" s="20"/>
      <c r="G424" s="20"/>
      <c r="H424" s="27"/>
    </row>
    <row r="425" spans="3:8" x14ac:dyDescent="0.15">
      <c r="C425" s="26"/>
      <c r="D425" s="22"/>
      <c r="E425" s="20"/>
      <c r="F425" s="20"/>
      <c r="G425" s="20"/>
      <c r="H425" s="27"/>
    </row>
    <row r="426" spans="3:8" x14ac:dyDescent="0.15">
      <c r="C426" s="26"/>
      <c r="D426" s="22"/>
      <c r="E426" s="20"/>
      <c r="F426" s="20"/>
      <c r="G426" s="20"/>
      <c r="H426" s="27"/>
    </row>
    <row r="427" spans="3:8" x14ac:dyDescent="0.15">
      <c r="C427" s="26"/>
      <c r="D427" s="22"/>
      <c r="E427" s="20"/>
      <c r="F427" s="20"/>
      <c r="G427" s="20"/>
      <c r="H427" s="27"/>
    </row>
    <row r="428" spans="3:8" x14ac:dyDescent="0.15">
      <c r="C428" s="26"/>
      <c r="D428" s="22"/>
      <c r="E428" s="20"/>
      <c r="F428" s="20"/>
      <c r="G428" s="20"/>
      <c r="H428" s="27"/>
    </row>
    <row r="429" spans="3:8" x14ac:dyDescent="0.15">
      <c r="C429" s="26"/>
      <c r="D429" s="22"/>
      <c r="E429" s="20"/>
      <c r="F429" s="20"/>
      <c r="G429" s="20"/>
      <c r="H429" s="27"/>
    </row>
    <row r="430" spans="3:8" x14ac:dyDescent="0.15">
      <c r="C430" s="26"/>
      <c r="D430" s="22"/>
      <c r="E430" s="20"/>
      <c r="F430" s="20"/>
      <c r="G430" s="20"/>
      <c r="H430" s="27"/>
    </row>
    <row r="431" spans="3:8" x14ac:dyDescent="0.15">
      <c r="C431" s="26"/>
      <c r="D431" s="22"/>
      <c r="E431" s="20"/>
      <c r="F431" s="20"/>
      <c r="G431" s="20"/>
      <c r="H431" s="27"/>
    </row>
    <row r="432" spans="3:8" x14ac:dyDescent="0.15">
      <c r="C432" s="26"/>
      <c r="D432" s="22"/>
      <c r="E432" s="20"/>
      <c r="F432" s="20"/>
      <c r="G432" s="20"/>
      <c r="H432" s="27"/>
    </row>
    <row r="433" spans="3:8" x14ac:dyDescent="0.15">
      <c r="C433" s="26"/>
      <c r="D433" s="22"/>
      <c r="E433" s="20"/>
      <c r="F433" s="20"/>
      <c r="G433" s="20"/>
      <c r="H433" s="27"/>
    </row>
    <row r="434" spans="3:8" x14ac:dyDescent="0.15">
      <c r="C434" s="26"/>
      <c r="D434" s="22"/>
      <c r="E434" s="20"/>
      <c r="F434" s="20"/>
      <c r="G434" s="20"/>
      <c r="H434" s="27"/>
    </row>
    <row r="435" spans="3:8" x14ac:dyDescent="0.15">
      <c r="C435" s="26"/>
      <c r="D435" s="22"/>
      <c r="E435" s="20"/>
      <c r="F435" s="20"/>
      <c r="G435" s="20"/>
      <c r="H435" s="27"/>
    </row>
    <row r="436" spans="3:8" x14ac:dyDescent="0.15">
      <c r="C436" s="26"/>
      <c r="D436" s="22"/>
      <c r="E436" s="20"/>
      <c r="F436" s="20"/>
      <c r="G436" s="20"/>
      <c r="H436" s="27"/>
    </row>
    <row r="437" spans="3:8" x14ac:dyDescent="0.15">
      <c r="C437" s="26"/>
      <c r="D437" s="22"/>
      <c r="E437" s="20"/>
      <c r="F437" s="20"/>
      <c r="G437" s="20"/>
      <c r="H437" s="27"/>
    </row>
    <row r="438" spans="3:8" x14ac:dyDescent="0.15">
      <c r="C438" s="26"/>
      <c r="D438" s="22"/>
      <c r="E438" s="20"/>
      <c r="F438" s="20"/>
      <c r="G438" s="20"/>
      <c r="H438" s="27"/>
    </row>
    <row r="439" spans="3:8" x14ac:dyDescent="0.15">
      <c r="C439" s="26"/>
      <c r="D439" s="22"/>
      <c r="E439" s="20"/>
      <c r="F439" s="20"/>
      <c r="G439" s="20"/>
      <c r="H439" s="27"/>
    </row>
    <row r="440" spans="3:8" x14ac:dyDescent="0.15">
      <c r="C440" s="26"/>
      <c r="D440" s="22"/>
      <c r="E440" s="20"/>
      <c r="F440" s="20"/>
      <c r="G440" s="20"/>
      <c r="H440" s="27"/>
    </row>
    <row r="441" spans="3:8" x14ac:dyDescent="0.15">
      <c r="C441" s="26"/>
      <c r="D441" s="22"/>
      <c r="E441" s="20"/>
      <c r="F441" s="20"/>
      <c r="G441" s="20"/>
      <c r="H441" s="27"/>
    </row>
    <row r="442" spans="3:8" x14ac:dyDescent="0.15">
      <c r="C442" s="26"/>
      <c r="D442" s="22"/>
      <c r="E442" s="20"/>
      <c r="F442" s="20"/>
      <c r="G442" s="20"/>
      <c r="H442" s="27"/>
    </row>
    <row r="443" spans="3:8" x14ac:dyDescent="0.15">
      <c r="C443" s="26"/>
      <c r="D443" s="22"/>
      <c r="E443" s="20"/>
      <c r="F443" s="20"/>
      <c r="G443" s="20"/>
      <c r="H443" s="27"/>
    </row>
    <row r="444" spans="3:8" x14ac:dyDescent="0.15">
      <c r="C444" s="26"/>
      <c r="D444" s="22"/>
      <c r="E444" s="20"/>
      <c r="F444" s="20"/>
      <c r="G444" s="20"/>
      <c r="H444" s="27"/>
    </row>
    <row r="445" spans="3:8" x14ac:dyDescent="0.15">
      <c r="C445" s="26"/>
      <c r="D445" s="22"/>
      <c r="E445" s="20"/>
      <c r="F445" s="20"/>
      <c r="G445" s="20"/>
      <c r="H445" s="27"/>
    </row>
    <row r="446" spans="3:8" x14ac:dyDescent="0.15">
      <c r="C446" s="26"/>
      <c r="D446" s="22"/>
      <c r="E446" s="20"/>
      <c r="F446" s="20"/>
      <c r="G446" s="20"/>
      <c r="H446" s="27"/>
    </row>
    <row r="447" spans="3:8" x14ac:dyDescent="0.15">
      <c r="C447" s="26"/>
      <c r="D447" s="22"/>
      <c r="E447" s="20"/>
      <c r="F447" s="20"/>
      <c r="G447" s="20"/>
      <c r="H447" s="27"/>
    </row>
    <row r="448" spans="3:8" x14ac:dyDescent="0.15">
      <c r="C448" s="26"/>
      <c r="D448" s="22"/>
      <c r="E448" s="20"/>
      <c r="F448" s="20"/>
      <c r="G448" s="20"/>
      <c r="H448" s="27"/>
    </row>
    <row r="449" spans="3:8" x14ac:dyDescent="0.15">
      <c r="C449" s="26"/>
      <c r="D449" s="22"/>
      <c r="E449" s="20"/>
      <c r="F449" s="20"/>
      <c r="G449" s="20"/>
      <c r="H449" s="27"/>
    </row>
    <row r="450" spans="3:8" x14ac:dyDescent="0.15">
      <c r="C450" s="26"/>
      <c r="D450" s="22"/>
      <c r="E450" s="20"/>
      <c r="F450" s="20"/>
      <c r="G450" s="20"/>
      <c r="H450" s="27"/>
    </row>
    <row r="451" spans="3:8" x14ac:dyDescent="0.15">
      <c r="C451" s="26"/>
      <c r="D451" s="22"/>
      <c r="E451" s="20"/>
      <c r="F451" s="20"/>
      <c r="G451" s="20"/>
      <c r="H451" s="27"/>
    </row>
    <row r="452" spans="3:8" x14ac:dyDescent="0.15">
      <c r="C452" s="26"/>
      <c r="D452" s="22"/>
      <c r="E452" s="20"/>
      <c r="F452" s="20"/>
      <c r="G452" s="20"/>
      <c r="H452" s="27"/>
    </row>
    <row r="453" spans="3:8" x14ac:dyDescent="0.15">
      <c r="C453" s="26"/>
      <c r="D453" s="22"/>
      <c r="E453" s="20"/>
      <c r="F453" s="20"/>
      <c r="G453" s="20"/>
      <c r="H453" s="27"/>
    </row>
    <row r="454" spans="3:8" x14ac:dyDescent="0.15">
      <c r="C454" s="26"/>
      <c r="D454" s="22"/>
      <c r="E454" s="20"/>
      <c r="F454" s="20"/>
      <c r="G454" s="20"/>
      <c r="H454" s="27"/>
    </row>
    <row r="455" spans="3:8" x14ac:dyDescent="0.15">
      <c r="C455" s="26"/>
      <c r="D455" s="22"/>
      <c r="E455" s="20"/>
      <c r="F455" s="20"/>
      <c r="G455" s="20"/>
      <c r="H455" s="27"/>
    </row>
    <row r="456" spans="3:8" x14ac:dyDescent="0.15">
      <c r="C456" s="26"/>
      <c r="D456" s="22"/>
      <c r="E456" s="20"/>
      <c r="F456" s="20"/>
      <c r="G456" s="20"/>
      <c r="H456" s="27"/>
    </row>
    <row r="457" spans="3:8" x14ac:dyDescent="0.15">
      <c r="C457" s="26"/>
      <c r="D457" s="22"/>
      <c r="E457" s="20"/>
      <c r="F457" s="20"/>
      <c r="G457" s="20"/>
      <c r="H457" s="27"/>
    </row>
    <row r="458" spans="3:8" x14ac:dyDescent="0.15">
      <c r="C458" s="26"/>
      <c r="D458" s="22"/>
      <c r="E458" s="20"/>
      <c r="F458" s="20"/>
      <c r="G458" s="20"/>
      <c r="H458" s="27"/>
    </row>
    <row r="459" spans="3:8" x14ac:dyDescent="0.15">
      <c r="C459" s="26"/>
      <c r="D459" s="22"/>
      <c r="E459" s="20"/>
      <c r="F459" s="20"/>
      <c r="G459" s="20"/>
      <c r="H459" s="27"/>
    </row>
    <row r="460" spans="3:8" x14ac:dyDescent="0.15">
      <c r="C460" s="26"/>
      <c r="D460" s="22"/>
      <c r="E460" s="20"/>
      <c r="F460" s="20"/>
      <c r="G460" s="20"/>
      <c r="H460" s="27"/>
    </row>
    <row r="461" spans="3:8" x14ac:dyDescent="0.15">
      <c r="C461" s="26"/>
      <c r="D461" s="22"/>
      <c r="E461" s="20"/>
      <c r="F461" s="20"/>
      <c r="G461" s="20"/>
      <c r="H461" s="27"/>
    </row>
    <row r="462" spans="3:8" x14ac:dyDescent="0.15">
      <c r="C462" s="26"/>
      <c r="D462" s="22"/>
      <c r="E462" s="20"/>
      <c r="F462" s="20"/>
      <c r="G462" s="20"/>
      <c r="H462" s="27"/>
    </row>
    <row r="463" spans="3:8" x14ac:dyDescent="0.15">
      <c r="C463" s="26"/>
      <c r="D463" s="22"/>
      <c r="E463" s="20"/>
      <c r="F463" s="20"/>
      <c r="G463" s="20"/>
      <c r="H463" s="27"/>
    </row>
    <row r="464" spans="3:8" x14ac:dyDescent="0.15">
      <c r="C464" s="26"/>
      <c r="D464" s="22"/>
      <c r="E464" s="20"/>
      <c r="F464" s="20"/>
      <c r="G464" s="20"/>
      <c r="H464" s="27"/>
    </row>
    <row r="465" spans="3:8" x14ac:dyDescent="0.15">
      <c r="C465" s="26"/>
      <c r="D465" s="22"/>
      <c r="E465" s="20"/>
      <c r="F465" s="20"/>
      <c r="G465" s="20"/>
      <c r="H465" s="27"/>
    </row>
    <row r="466" spans="3:8" x14ac:dyDescent="0.15">
      <c r="C466" s="26"/>
      <c r="D466" s="22"/>
      <c r="E466" s="20"/>
      <c r="F466" s="20"/>
      <c r="G466" s="20"/>
      <c r="H466" s="27"/>
    </row>
    <row r="467" spans="3:8" x14ac:dyDescent="0.15">
      <c r="C467" s="26"/>
      <c r="D467" s="22"/>
      <c r="E467" s="20"/>
      <c r="F467" s="20"/>
      <c r="G467" s="20"/>
      <c r="H467" s="27"/>
    </row>
    <row r="468" spans="3:8" x14ac:dyDescent="0.15">
      <c r="C468" s="26"/>
      <c r="D468" s="22"/>
      <c r="E468" s="20"/>
      <c r="F468" s="20"/>
      <c r="G468" s="20"/>
      <c r="H468" s="27"/>
    </row>
    <row r="469" spans="3:8" x14ac:dyDescent="0.15">
      <c r="C469" s="26"/>
      <c r="D469" s="22"/>
      <c r="E469" s="20"/>
      <c r="F469" s="20"/>
      <c r="G469" s="20"/>
      <c r="H469" s="27"/>
    </row>
    <row r="470" spans="3:8" x14ac:dyDescent="0.15">
      <c r="C470" s="26"/>
      <c r="D470" s="22"/>
      <c r="E470" s="20"/>
      <c r="F470" s="20"/>
      <c r="G470" s="20"/>
      <c r="H470" s="27"/>
    </row>
    <row r="471" spans="3:8" x14ac:dyDescent="0.15">
      <c r="C471" s="26"/>
      <c r="D471" s="22"/>
      <c r="E471" s="20"/>
      <c r="F471" s="20"/>
      <c r="G471" s="20"/>
      <c r="H471" s="27"/>
    </row>
    <row r="472" spans="3:8" x14ac:dyDescent="0.15">
      <c r="C472" s="26"/>
      <c r="D472" s="22"/>
      <c r="E472" s="20"/>
      <c r="F472" s="20"/>
      <c r="G472" s="20"/>
      <c r="H472" s="27"/>
    </row>
    <row r="473" spans="3:8" x14ac:dyDescent="0.15">
      <c r="C473" s="26"/>
      <c r="D473" s="22"/>
      <c r="E473" s="20"/>
      <c r="F473" s="20"/>
      <c r="G473" s="20"/>
      <c r="H473" s="27"/>
    </row>
    <row r="474" spans="3:8" x14ac:dyDescent="0.15">
      <c r="C474" s="26"/>
      <c r="D474" s="22"/>
      <c r="E474" s="20"/>
      <c r="F474" s="20"/>
      <c r="G474" s="20"/>
      <c r="H474" s="27"/>
    </row>
    <row r="475" spans="3:8" x14ac:dyDescent="0.15">
      <c r="C475" s="26"/>
      <c r="D475" s="22"/>
      <c r="E475" s="20"/>
      <c r="F475" s="20"/>
      <c r="G475" s="20"/>
      <c r="H475" s="27"/>
    </row>
    <row r="476" spans="3:8" x14ac:dyDescent="0.15">
      <c r="C476" s="26"/>
      <c r="D476" s="22"/>
      <c r="E476" s="20"/>
      <c r="F476" s="20"/>
      <c r="G476" s="20"/>
      <c r="H476" s="27"/>
    </row>
    <row r="477" spans="3:8" x14ac:dyDescent="0.15">
      <c r="C477" s="26"/>
      <c r="D477" s="22"/>
      <c r="E477" s="20"/>
      <c r="F477" s="20"/>
      <c r="G477" s="20"/>
      <c r="H477" s="27"/>
    </row>
    <row r="478" spans="3:8" x14ac:dyDescent="0.15">
      <c r="C478" s="26"/>
      <c r="D478" s="22"/>
      <c r="E478" s="20"/>
      <c r="F478" s="20"/>
      <c r="G478" s="20"/>
      <c r="H478" s="27"/>
    </row>
    <row r="479" spans="3:8" x14ac:dyDescent="0.15">
      <c r="C479" s="26"/>
      <c r="D479" s="22"/>
      <c r="E479" s="20"/>
      <c r="F479" s="20"/>
      <c r="G479" s="20"/>
      <c r="H479" s="27"/>
    </row>
    <row r="480" spans="3:8" x14ac:dyDescent="0.15">
      <c r="C480" s="26"/>
      <c r="D480" s="22"/>
      <c r="E480" s="20"/>
      <c r="F480" s="20"/>
      <c r="G480" s="20"/>
      <c r="H480" s="27"/>
    </row>
    <row r="481" spans="3:8" x14ac:dyDescent="0.15">
      <c r="C481" s="26"/>
      <c r="D481" s="22"/>
      <c r="E481" s="20"/>
      <c r="F481" s="20"/>
      <c r="G481" s="20"/>
      <c r="H481" s="27"/>
    </row>
    <row r="482" spans="3:8" x14ac:dyDescent="0.15">
      <c r="C482" s="26"/>
      <c r="D482" s="22"/>
      <c r="E482" s="20"/>
      <c r="F482" s="20"/>
      <c r="G482" s="20"/>
      <c r="H482" s="27"/>
    </row>
    <row r="483" spans="3:8" x14ac:dyDescent="0.15">
      <c r="C483" s="26"/>
      <c r="D483" s="22"/>
      <c r="E483" s="20"/>
      <c r="F483" s="20"/>
      <c r="G483" s="20"/>
      <c r="H483" s="27"/>
    </row>
    <row r="484" spans="3:8" x14ac:dyDescent="0.15">
      <c r="C484" s="26"/>
      <c r="D484" s="22"/>
      <c r="E484" s="20"/>
      <c r="F484" s="20"/>
      <c r="G484" s="20"/>
      <c r="H484" s="27"/>
    </row>
    <row r="485" spans="3:8" x14ac:dyDescent="0.15">
      <c r="C485" s="26"/>
      <c r="D485" s="22"/>
      <c r="E485" s="20"/>
      <c r="F485" s="20"/>
      <c r="G485" s="20"/>
      <c r="H485" s="27"/>
    </row>
    <row r="486" spans="3:8" x14ac:dyDescent="0.15">
      <c r="C486" s="26"/>
      <c r="D486" s="22"/>
      <c r="E486" s="20"/>
      <c r="F486" s="20"/>
      <c r="G486" s="20"/>
      <c r="H486" s="27"/>
    </row>
    <row r="487" spans="3:8" x14ac:dyDescent="0.15">
      <c r="C487" s="26"/>
      <c r="D487" s="22"/>
      <c r="E487" s="20"/>
      <c r="F487" s="20"/>
      <c r="G487" s="20"/>
      <c r="H487" s="27"/>
    </row>
    <row r="488" spans="3:8" x14ac:dyDescent="0.15">
      <c r="C488" s="26"/>
      <c r="D488" s="22"/>
      <c r="E488" s="20"/>
      <c r="F488" s="20"/>
      <c r="G488" s="20"/>
      <c r="H488" s="27"/>
    </row>
    <row r="489" spans="3:8" x14ac:dyDescent="0.15">
      <c r="C489" s="26"/>
      <c r="D489" s="22"/>
      <c r="E489" s="20"/>
      <c r="F489" s="20"/>
      <c r="G489" s="20"/>
      <c r="H489" s="27"/>
    </row>
    <row r="490" spans="3:8" x14ac:dyDescent="0.15">
      <c r="C490" s="26"/>
      <c r="D490" s="22"/>
      <c r="E490" s="20"/>
      <c r="F490" s="20"/>
      <c r="G490" s="20"/>
      <c r="H490" s="27"/>
    </row>
    <row r="491" spans="3:8" x14ac:dyDescent="0.15">
      <c r="C491" s="26"/>
      <c r="D491" s="22"/>
      <c r="E491" s="20"/>
      <c r="F491" s="20"/>
      <c r="G491" s="20"/>
      <c r="H491" s="27"/>
    </row>
    <row r="492" spans="3:8" x14ac:dyDescent="0.15">
      <c r="C492" s="26"/>
      <c r="D492" s="22"/>
      <c r="E492" s="20"/>
      <c r="F492" s="20"/>
      <c r="G492" s="20"/>
      <c r="H492" s="27"/>
    </row>
    <row r="493" spans="3:8" x14ac:dyDescent="0.15">
      <c r="C493" s="26"/>
      <c r="D493" s="22"/>
      <c r="E493" s="20"/>
      <c r="F493" s="20"/>
      <c r="G493" s="20"/>
      <c r="H493" s="27"/>
    </row>
    <row r="494" spans="3:8" x14ac:dyDescent="0.15">
      <c r="C494" s="26"/>
      <c r="D494" s="22"/>
      <c r="E494" s="20"/>
      <c r="F494" s="20"/>
      <c r="G494" s="20"/>
      <c r="H494" s="27"/>
    </row>
    <row r="495" spans="3:8" x14ac:dyDescent="0.15">
      <c r="C495" s="26"/>
      <c r="D495" s="22"/>
      <c r="E495" s="20"/>
      <c r="F495" s="20"/>
      <c r="G495" s="20"/>
      <c r="H495" s="27"/>
    </row>
    <row r="496" spans="3:8" x14ac:dyDescent="0.15">
      <c r="C496" s="26"/>
      <c r="D496" s="22"/>
      <c r="E496" s="20"/>
      <c r="F496" s="20"/>
      <c r="G496" s="20"/>
      <c r="H496" s="27"/>
    </row>
    <row r="497" spans="3:8" x14ac:dyDescent="0.15">
      <c r="C497" s="26"/>
      <c r="D497" s="22"/>
      <c r="E497" s="20"/>
      <c r="F497" s="20"/>
      <c r="G497" s="20"/>
      <c r="H497" s="27"/>
    </row>
    <row r="498" spans="3:8" x14ac:dyDescent="0.15">
      <c r="C498" s="26"/>
      <c r="D498" s="22"/>
      <c r="E498" s="20"/>
      <c r="F498" s="20"/>
      <c r="G498" s="20"/>
      <c r="H498" s="27"/>
    </row>
    <row r="499" spans="3:8" x14ac:dyDescent="0.15">
      <c r="C499" s="26"/>
      <c r="D499" s="22"/>
      <c r="E499" s="20"/>
      <c r="F499" s="20"/>
      <c r="G499" s="20"/>
      <c r="H499" s="27"/>
    </row>
    <row r="500" spans="3:8" x14ac:dyDescent="0.15">
      <c r="C500" s="26"/>
      <c r="D500" s="22"/>
      <c r="E500" s="20"/>
      <c r="F500" s="20"/>
      <c r="G500" s="20"/>
      <c r="H500" s="27"/>
    </row>
    <row r="501" spans="3:8" x14ac:dyDescent="0.15">
      <c r="C501" s="26"/>
      <c r="D501" s="22"/>
      <c r="E501" s="20"/>
      <c r="F501" s="20"/>
      <c r="G501" s="20"/>
      <c r="H501" s="27"/>
    </row>
    <row r="502" spans="3:8" x14ac:dyDescent="0.15">
      <c r="C502" s="26"/>
      <c r="D502" s="22"/>
      <c r="E502" s="20"/>
      <c r="F502" s="20"/>
      <c r="G502" s="20"/>
      <c r="H502" s="27"/>
    </row>
    <row r="503" spans="3:8" x14ac:dyDescent="0.15">
      <c r="C503" s="26"/>
      <c r="D503" s="22"/>
      <c r="E503" s="20"/>
      <c r="F503" s="20"/>
      <c r="G503" s="20"/>
      <c r="H503" s="27"/>
    </row>
    <row r="504" spans="3:8" x14ac:dyDescent="0.15">
      <c r="C504" s="26"/>
      <c r="D504" s="22"/>
      <c r="E504" s="20"/>
      <c r="F504" s="20"/>
      <c r="G504" s="20"/>
      <c r="H504" s="27"/>
    </row>
    <row r="505" spans="3:8" x14ac:dyDescent="0.15">
      <c r="C505" s="26"/>
      <c r="D505" s="22"/>
      <c r="E505" s="20"/>
      <c r="F505" s="20"/>
      <c r="G505" s="20"/>
      <c r="H505" s="27"/>
    </row>
    <row r="506" spans="3:8" x14ac:dyDescent="0.15">
      <c r="C506" s="26"/>
      <c r="D506" s="22"/>
      <c r="E506" s="20"/>
      <c r="F506" s="20"/>
      <c r="G506" s="20"/>
      <c r="H506" s="27"/>
    </row>
    <row r="507" spans="3:8" x14ac:dyDescent="0.15">
      <c r="C507" s="26"/>
      <c r="D507" s="22"/>
      <c r="E507" s="20"/>
      <c r="F507" s="20"/>
      <c r="G507" s="20"/>
      <c r="H507" s="27"/>
    </row>
    <row r="508" spans="3:8" x14ac:dyDescent="0.15">
      <c r="C508" s="26"/>
      <c r="D508" s="22"/>
      <c r="E508" s="20"/>
      <c r="F508" s="20"/>
      <c r="G508" s="20"/>
      <c r="H508" s="27"/>
    </row>
    <row r="509" spans="3:8" x14ac:dyDescent="0.15">
      <c r="C509" s="26"/>
      <c r="D509" s="22"/>
      <c r="E509" s="20"/>
      <c r="F509" s="20"/>
      <c r="G509" s="20"/>
      <c r="H509" s="27"/>
    </row>
    <row r="510" spans="3:8" x14ac:dyDescent="0.15">
      <c r="C510" s="26"/>
      <c r="D510" s="22"/>
      <c r="E510" s="20"/>
      <c r="F510" s="20"/>
      <c r="G510" s="20"/>
      <c r="H510" s="27"/>
    </row>
    <row r="511" spans="3:8" x14ac:dyDescent="0.15">
      <c r="C511" s="26"/>
      <c r="D511" s="22"/>
      <c r="E511" s="20"/>
      <c r="F511" s="20"/>
      <c r="G511" s="20"/>
      <c r="H511" s="27"/>
    </row>
    <row r="512" spans="3:8" x14ac:dyDescent="0.15">
      <c r="C512" s="26"/>
      <c r="D512" s="22"/>
      <c r="E512" s="20"/>
      <c r="F512" s="20"/>
      <c r="G512" s="20"/>
      <c r="H512" s="27"/>
    </row>
    <row r="513" spans="3:8" x14ac:dyDescent="0.15">
      <c r="C513" s="26"/>
      <c r="D513" s="22"/>
      <c r="E513" s="20"/>
      <c r="F513" s="20"/>
      <c r="G513" s="20"/>
      <c r="H513" s="27"/>
    </row>
    <row r="514" spans="3:8" x14ac:dyDescent="0.15">
      <c r="C514" s="26"/>
      <c r="D514" s="22"/>
      <c r="E514" s="20"/>
      <c r="F514" s="20"/>
      <c r="G514" s="20"/>
      <c r="H514" s="27"/>
    </row>
    <row r="515" spans="3:8" x14ac:dyDescent="0.15">
      <c r="C515" s="26"/>
      <c r="D515" s="22"/>
      <c r="E515" s="20"/>
      <c r="F515" s="20"/>
      <c r="G515" s="20"/>
      <c r="H515" s="27"/>
    </row>
    <row r="516" spans="3:8" x14ac:dyDescent="0.15">
      <c r="C516" s="26"/>
      <c r="D516" s="22"/>
      <c r="E516" s="20"/>
      <c r="F516" s="20"/>
      <c r="G516" s="20"/>
      <c r="H516" s="27"/>
    </row>
    <row r="517" spans="3:8" x14ac:dyDescent="0.15">
      <c r="C517" s="26"/>
      <c r="D517" s="22"/>
      <c r="E517" s="20"/>
      <c r="F517" s="20"/>
      <c r="G517" s="20"/>
      <c r="H517" s="27"/>
    </row>
    <row r="518" spans="3:8" x14ac:dyDescent="0.15">
      <c r="C518" s="26"/>
      <c r="D518" s="22"/>
      <c r="E518" s="20"/>
      <c r="F518" s="20"/>
      <c r="G518" s="20"/>
      <c r="H518" s="27"/>
    </row>
    <row r="519" spans="3:8" x14ac:dyDescent="0.15">
      <c r="C519" s="26"/>
      <c r="D519" s="22"/>
      <c r="E519" s="20"/>
      <c r="F519" s="20"/>
      <c r="G519" s="20"/>
      <c r="H519" s="27"/>
    </row>
    <row r="520" spans="3:8" x14ac:dyDescent="0.15">
      <c r="C520" s="26"/>
      <c r="D520" s="22"/>
      <c r="E520" s="20"/>
      <c r="F520" s="20"/>
      <c r="G520" s="20"/>
      <c r="H520" s="27"/>
    </row>
    <row r="521" spans="3:8" x14ac:dyDescent="0.15">
      <c r="C521" s="26"/>
      <c r="D521" s="22"/>
      <c r="E521" s="20"/>
      <c r="F521" s="20"/>
      <c r="G521" s="20"/>
      <c r="H521" s="27"/>
    </row>
    <row r="522" spans="3:8" x14ac:dyDescent="0.15">
      <c r="C522" s="26"/>
      <c r="D522" s="22"/>
      <c r="E522" s="20"/>
      <c r="F522" s="20"/>
      <c r="G522" s="20"/>
      <c r="H522" s="27"/>
    </row>
    <row r="523" spans="3:8" x14ac:dyDescent="0.15">
      <c r="C523" s="26"/>
      <c r="D523" s="22"/>
      <c r="E523" s="20"/>
      <c r="F523" s="20"/>
      <c r="G523" s="20"/>
      <c r="H523" s="27"/>
    </row>
    <row r="524" spans="3:8" x14ac:dyDescent="0.15">
      <c r="C524" s="26"/>
      <c r="D524" s="22"/>
      <c r="E524" s="20"/>
      <c r="F524" s="20"/>
      <c r="G524" s="20"/>
      <c r="H524" s="27"/>
    </row>
    <row r="525" spans="3:8" x14ac:dyDescent="0.15">
      <c r="C525" s="26"/>
      <c r="D525" s="22"/>
      <c r="E525" s="20"/>
      <c r="F525" s="20"/>
      <c r="G525" s="20"/>
      <c r="H525" s="27"/>
    </row>
    <row r="526" spans="3:8" x14ac:dyDescent="0.15">
      <c r="C526" s="26"/>
      <c r="D526" s="22"/>
      <c r="E526" s="20"/>
      <c r="F526" s="20"/>
      <c r="G526" s="20"/>
      <c r="H526" s="27"/>
    </row>
    <row r="527" spans="3:8" x14ac:dyDescent="0.15">
      <c r="C527" s="26"/>
      <c r="D527" s="22"/>
      <c r="E527" s="20"/>
      <c r="F527" s="20"/>
      <c r="G527" s="20"/>
      <c r="H527" s="27"/>
    </row>
    <row r="528" spans="3:8" x14ac:dyDescent="0.15">
      <c r="C528" s="26"/>
      <c r="D528" s="22"/>
      <c r="E528" s="20"/>
      <c r="F528" s="20"/>
      <c r="G528" s="20"/>
      <c r="H528" s="27"/>
    </row>
    <row r="529" spans="3:8" x14ac:dyDescent="0.15">
      <c r="C529" s="26"/>
      <c r="D529" s="22"/>
      <c r="E529" s="20"/>
      <c r="F529" s="20"/>
      <c r="G529" s="20"/>
      <c r="H529" s="27"/>
    </row>
    <row r="530" spans="3:8" x14ac:dyDescent="0.15">
      <c r="C530" s="26"/>
      <c r="D530" s="22"/>
      <c r="E530" s="20"/>
      <c r="F530" s="20"/>
      <c r="G530" s="20"/>
      <c r="H530" s="27"/>
    </row>
    <row r="531" spans="3:8" x14ac:dyDescent="0.15">
      <c r="C531" s="26"/>
      <c r="D531" s="22"/>
      <c r="E531" s="20"/>
      <c r="F531" s="20"/>
      <c r="G531" s="20"/>
      <c r="H531" s="27"/>
    </row>
    <row r="532" spans="3:8" x14ac:dyDescent="0.15">
      <c r="C532" s="26"/>
      <c r="D532" s="22"/>
      <c r="E532" s="20"/>
      <c r="F532" s="20"/>
      <c r="G532" s="20"/>
      <c r="H532" s="27"/>
    </row>
    <row r="533" spans="3:8" x14ac:dyDescent="0.15">
      <c r="C533" s="26"/>
      <c r="D533" s="22"/>
      <c r="E533" s="20"/>
      <c r="F533" s="20"/>
      <c r="G533" s="20"/>
      <c r="H533" s="27"/>
    </row>
    <row r="534" spans="3:8" x14ac:dyDescent="0.15">
      <c r="C534" s="26"/>
      <c r="D534" s="22"/>
      <c r="E534" s="20"/>
      <c r="F534" s="20"/>
      <c r="G534" s="20"/>
      <c r="H534" s="27"/>
    </row>
    <row r="535" spans="3:8" x14ac:dyDescent="0.15">
      <c r="C535" s="26"/>
      <c r="D535" s="22"/>
      <c r="E535" s="20"/>
      <c r="F535" s="20"/>
      <c r="G535" s="20"/>
      <c r="H535" s="27"/>
    </row>
    <row r="536" spans="3:8" x14ac:dyDescent="0.15">
      <c r="C536" s="26"/>
      <c r="D536" s="22"/>
      <c r="E536" s="20"/>
      <c r="F536" s="20"/>
      <c r="G536" s="20"/>
      <c r="H536" s="27"/>
    </row>
    <row r="537" spans="3:8" x14ac:dyDescent="0.15">
      <c r="C537" s="26"/>
      <c r="D537" s="22"/>
      <c r="E537" s="20"/>
      <c r="F537" s="20"/>
      <c r="G537" s="20"/>
      <c r="H537" s="27"/>
    </row>
    <row r="538" spans="3:8" x14ac:dyDescent="0.15">
      <c r="C538" s="26"/>
      <c r="D538" s="22"/>
      <c r="E538" s="20"/>
      <c r="F538" s="20"/>
      <c r="G538" s="20"/>
      <c r="H538" s="27"/>
    </row>
    <row r="539" spans="3:8" x14ac:dyDescent="0.15">
      <c r="C539" s="26"/>
      <c r="D539" s="22"/>
      <c r="E539" s="20"/>
      <c r="F539" s="20"/>
      <c r="G539" s="20"/>
      <c r="H539" s="27"/>
    </row>
    <row r="540" spans="3:8" x14ac:dyDescent="0.15">
      <c r="C540" s="26"/>
      <c r="D540" s="22"/>
      <c r="E540" s="20"/>
      <c r="F540" s="20"/>
      <c r="G540" s="20"/>
      <c r="H540" s="27"/>
    </row>
    <row r="541" spans="3:8" x14ac:dyDescent="0.15">
      <c r="C541" s="26"/>
      <c r="D541" s="22"/>
      <c r="E541" s="20"/>
      <c r="F541" s="20"/>
      <c r="G541" s="20"/>
      <c r="H541" s="27"/>
    </row>
    <row r="542" spans="3:8" x14ac:dyDescent="0.15">
      <c r="C542" s="26"/>
      <c r="D542" s="22"/>
      <c r="E542" s="20"/>
      <c r="F542" s="20"/>
      <c r="G542" s="20"/>
      <c r="H542" s="27"/>
    </row>
    <row r="543" spans="3:8" x14ac:dyDescent="0.15">
      <c r="C543" s="26"/>
      <c r="D543" s="22"/>
      <c r="E543" s="20"/>
      <c r="F543" s="20"/>
      <c r="G543" s="20"/>
      <c r="H543" s="27"/>
    </row>
    <row r="544" spans="3:8" x14ac:dyDescent="0.15">
      <c r="C544" s="26"/>
      <c r="D544" s="22"/>
      <c r="E544" s="20"/>
      <c r="F544" s="20"/>
      <c r="G544" s="20"/>
      <c r="H544" s="27"/>
    </row>
    <row r="545" spans="3:8" x14ac:dyDescent="0.15">
      <c r="C545" s="26"/>
      <c r="D545" s="22"/>
      <c r="E545" s="20"/>
      <c r="F545" s="20"/>
      <c r="G545" s="20"/>
      <c r="H545" s="27"/>
    </row>
    <row r="546" spans="3:8" x14ac:dyDescent="0.15">
      <c r="C546" s="26"/>
      <c r="D546" s="22"/>
      <c r="E546" s="20"/>
      <c r="F546" s="20"/>
      <c r="G546" s="20"/>
      <c r="H546" s="27"/>
    </row>
    <row r="547" spans="3:8" x14ac:dyDescent="0.15">
      <c r="C547" s="26"/>
      <c r="D547" s="22"/>
      <c r="E547" s="20"/>
      <c r="F547" s="20"/>
      <c r="G547" s="20"/>
      <c r="H547" s="27"/>
    </row>
    <row r="548" spans="3:8" x14ac:dyDescent="0.15">
      <c r="C548" s="26"/>
      <c r="D548" s="22"/>
      <c r="E548" s="20"/>
      <c r="F548" s="20"/>
      <c r="G548" s="20"/>
      <c r="H548" s="27"/>
    </row>
    <row r="549" spans="3:8" x14ac:dyDescent="0.15">
      <c r="C549" s="26"/>
      <c r="D549" s="22"/>
      <c r="E549" s="20"/>
      <c r="F549" s="20"/>
      <c r="G549" s="20"/>
      <c r="H549" s="27"/>
    </row>
    <row r="550" spans="3:8" x14ac:dyDescent="0.15">
      <c r="C550" s="26"/>
      <c r="D550" s="22"/>
      <c r="E550" s="20"/>
      <c r="F550" s="20"/>
      <c r="G550" s="20"/>
      <c r="H550" s="27"/>
    </row>
    <row r="551" spans="3:8" x14ac:dyDescent="0.15">
      <c r="C551" s="26"/>
      <c r="D551" s="22"/>
      <c r="E551" s="20"/>
      <c r="F551" s="20"/>
      <c r="G551" s="20"/>
      <c r="H551" s="27"/>
    </row>
    <row r="552" spans="3:8" x14ac:dyDescent="0.15">
      <c r="C552" s="26"/>
      <c r="D552" s="22"/>
      <c r="E552" s="20"/>
      <c r="F552" s="20"/>
      <c r="G552" s="20"/>
      <c r="H552" s="27"/>
    </row>
    <row r="553" spans="3:8" x14ac:dyDescent="0.15">
      <c r="C553" s="26"/>
      <c r="D553" s="22"/>
      <c r="E553" s="20"/>
      <c r="F553" s="20"/>
      <c r="G553" s="20"/>
      <c r="H553" s="27"/>
    </row>
    <row r="554" spans="3:8" x14ac:dyDescent="0.15">
      <c r="C554" s="26"/>
      <c r="D554" s="22"/>
      <c r="E554" s="20"/>
      <c r="F554" s="20"/>
      <c r="G554" s="20"/>
      <c r="H554" s="27"/>
    </row>
    <row r="555" spans="3:8" x14ac:dyDescent="0.15">
      <c r="C555" s="26"/>
      <c r="D555" s="22"/>
      <c r="E555" s="20"/>
      <c r="F555" s="20"/>
      <c r="G555" s="20"/>
      <c r="H555" s="27"/>
    </row>
    <row r="556" spans="3:8" x14ac:dyDescent="0.15">
      <c r="C556" s="26"/>
      <c r="D556" s="22"/>
      <c r="E556" s="20"/>
      <c r="F556" s="20"/>
      <c r="G556" s="20"/>
      <c r="H556" s="27"/>
    </row>
    <row r="557" spans="3:8" x14ac:dyDescent="0.15">
      <c r="C557" s="26"/>
      <c r="D557" s="22"/>
      <c r="E557" s="20"/>
      <c r="F557" s="20"/>
      <c r="G557" s="20"/>
      <c r="H557" s="27"/>
    </row>
    <row r="558" spans="3:8" x14ac:dyDescent="0.15">
      <c r="C558" s="26"/>
      <c r="D558" s="22"/>
      <c r="E558" s="20"/>
      <c r="F558" s="20"/>
      <c r="G558" s="20"/>
      <c r="H558" s="27"/>
    </row>
    <row r="559" spans="3:8" x14ac:dyDescent="0.15">
      <c r="C559" s="26"/>
      <c r="D559" s="22"/>
      <c r="E559" s="20"/>
      <c r="F559" s="20"/>
      <c r="G559" s="20"/>
      <c r="H559" s="27"/>
    </row>
    <row r="560" spans="3:8" x14ac:dyDescent="0.15">
      <c r="C560" s="26"/>
      <c r="D560" s="22"/>
      <c r="E560" s="20"/>
      <c r="F560" s="20"/>
      <c r="G560" s="20"/>
      <c r="H560" s="27"/>
    </row>
    <row r="561" spans="3:8" x14ac:dyDescent="0.15">
      <c r="C561" s="26"/>
      <c r="D561" s="22"/>
      <c r="E561" s="20"/>
      <c r="F561" s="20"/>
      <c r="G561" s="20"/>
      <c r="H561" s="27"/>
    </row>
    <row r="562" spans="3:8" x14ac:dyDescent="0.15">
      <c r="C562" s="26"/>
      <c r="D562" s="22"/>
      <c r="E562" s="20"/>
      <c r="F562" s="20"/>
      <c r="G562" s="20"/>
      <c r="H562" s="27"/>
    </row>
    <row r="563" spans="3:8" x14ac:dyDescent="0.15">
      <c r="C563" s="26"/>
      <c r="D563" s="22"/>
      <c r="E563" s="20"/>
      <c r="F563" s="20"/>
      <c r="G563" s="20"/>
      <c r="H563" s="27"/>
    </row>
    <row r="564" spans="3:8" x14ac:dyDescent="0.15">
      <c r="C564" s="26"/>
      <c r="D564" s="22"/>
      <c r="E564" s="20"/>
      <c r="F564" s="20"/>
      <c r="G564" s="20"/>
      <c r="H564" s="27"/>
    </row>
    <row r="565" spans="3:8" x14ac:dyDescent="0.15">
      <c r="C565" s="26"/>
      <c r="D565" s="22"/>
      <c r="E565" s="20"/>
      <c r="F565" s="20"/>
      <c r="G565" s="20"/>
      <c r="H565" s="27"/>
    </row>
    <row r="566" spans="3:8" x14ac:dyDescent="0.15">
      <c r="C566" s="26"/>
      <c r="D566" s="22"/>
      <c r="E566" s="20"/>
      <c r="F566" s="20"/>
      <c r="G566" s="20"/>
      <c r="H566" s="27"/>
    </row>
    <row r="567" spans="3:8" x14ac:dyDescent="0.15">
      <c r="C567" s="26"/>
      <c r="D567" s="22"/>
      <c r="E567" s="20"/>
      <c r="F567" s="20"/>
      <c r="G567" s="20"/>
      <c r="H567" s="27"/>
    </row>
    <row r="568" spans="3:8" x14ac:dyDescent="0.15">
      <c r="C568" s="26"/>
      <c r="D568" s="22"/>
      <c r="E568" s="20"/>
      <c r="F568" s="20"/>
      <c r="G568" s="20"/>
      <c r="H568" s="27"/>
    </row>
    <row r="569" spans="3:8" x14ac:dyDescent="0.15">
      <c r="C569" s="26"/>
      <c r="D569" s="22"/>
      <c r="E569" s="20"/>
      <c r="F569" s="20"/>
      <c r="G569" s="20"/>
      <c r="H569" s="27"/>
    </row>
    <row r="570" spans="3:8" x14ac:dyDescent="0.15">
      <c r="C570" s="26"/>
      <c r="D570" s="22"/>
      <c r="E570" s="20"/>
      <c r="F570" s="20"/>
      <c r="G570" s="20"/>
      <c r="H570" s="27"/>
    </row>
    <row r="571" spans="3:8" x14ac:dyDescent="0.15">
      <c r="C571" s="26"/>
      <c r="D571" s="22"/>
      <c r="E571" s="20"/>
      <c r="F571" s="20"/>
      <c r="G571" s="20"/>
      <c r="H571" s="27"/>
    </row>
    <row r="572" spans="3:8" x14ac:dyDescent="0.15">
      <c r="C572" s="26"/>
      <c r="D572" s="22"/>
      <c r="E572" s="20"/>
      <c r="F572" s="20"/>
      <c r="G572" s="20"/>
      <c r="H572" s="27"/>
    </row>
    <row r="573" spans="3:8" x14ac:dyDescent="0.15">
      <c r="C573" s="26"/>
      <c r="D573" s="22"/>
      <c r="E573" s="20"/>
      <c r="F573" s="20"/>
      <c r="G573" s="20"/>
      <c r="H573" s="27"/>
    </row>
    <row r="574" spans="3:8" x14ac:dyDescent="0.15">
      <c r="C574" s="26"/>
      <c r="D574" s="22"/>
      <c r="E574" s="20"/>
      <c r="F574" s="20"/>
      <c r="G574" s="20"/>
      <c r="H574" s="27"/>
    </row>
    <row r="575" spans="3:8" x14ac:dyDescent="0.15">
      <c r="C575" s="26"/>
      <c r="D575" s="22"/>
      <c r="E575" s="20"/>
      <c r="F575" s="20"/>
      <c r="G575" s="20"/>
      <c r="H575" s="27"/>
    </row>
    <row r="576" spans="3:8" x14ac:dyDescent="0.15">
      <c r="C576" s="26"/>
      <c r="D576" s="22"/>
      <c r="E576" s="20"/>
      <c r="F576" s="20"/>
      <c r="G576" s="20"/>
      <c r="H576" s="27"/>
    </row>
    <row r="577" spans="3:8" x14ac:dyDescent="0.15">
      <c r="C577" s="26"/>
      <c r="D577" s="22"/>
      <c r="E577" s="20"/>
      <c r="F577" s="20"/>
      <c r="G577" s="20"/>
      <c r="H577" s="27"/>
    </row>
    <row r="578" spans="3:8" x14ac:dyDescent="0.15">
      <c r="C578" s="26"/>
      <c r="D578" s="22"/>
      <c r="E578" s="20"/>
      <c r="F578" s="20"/>
      <c r="G578" s="20"/>
      <c r="H578" s="27"/>
    </row>
    <row r="579" spans="3:8" x14ac:dyDescent="0.15">
      <c r="C579" s="26"/>
      <c r="D579" s="22"/>
      <c r="E579" s="20"/>
      <c r="F579" s="20"/>
      <c r="G579" s="20"/>
      <c r="H579" s="27"/>
    </row>
    <row r="580" spans="3:8" x14ac:dyDescent="0.15">
      <c r="C580" s="26"/>
      <c r="D580" s="22"/>
      <c r="E580" s="20"/>
      <c r="F580" s="20"/>
      <c r="G580" s="20"/>
      <c r="H580" s="27"/>
    </row>
    <row r="581" spans="3:8" x14ac:dyDescent="0.15">
      <c r="C581" s="26"/>
      <c r="D581" s="22"/>
      <c r="E581" s="20"/>
      <c r="F581" s="20"/>
      <c r="G581" s="20"/>
      <c r="H581" s="27"/>
    </row>
    <row r="582" spans="3:8" x14ac:dyDescent="0.15">
      <c r="C582" s="26"/>
      <c r="D582" s="22"/>
      <c r="E582" s="20"/>
      <c r="F582" s="20"/>
      <c r="G582" s="20"/>
      <c r="H582" s="27"/>
    </row>
    <row r="583" spans="3:8" x14ac:dyDescent="0.15">
      <c r="C583" s="26"/>
      <c r="D583" s="22"/>
      <c r="E583" s="20"/>
      <c r="F583" s="20"/>
      <c r="G583" s="20"/>
      <c r="H583" s="27"/>
    </row>
    <row r="584" spans="3:8" x14ac:dyDescent="0.15">
      <c r="C584" s="26"/>
      <c r="D584" s="22"/>
      <c r="E584" s="20"/>
      <c r="F584" s="20"/>
      <c r="G584" s="20"/>
      <c r="H584" s="27"/>
    </row>
    <row r="585" spans="3:8" x14ac:dyDescent="0.15">
      <c r="C585" s="26"/>
      <c r="D585" s="22"/>
      <c r="E585" s="20"/>
      <c r="F585" s="20"/>
      <c r="G585" s="20"/>
      <c r="H585" s="27"/>
    </row>
    <row r="586" spans="3:8" x14ac:dyDescent="0.15">
      <c r="C586" s="26"/>
      <c r="D586" s="22"/>
      <c r="E586" s="20"/>
      <c r="F586" s="20"/>
      <c r="G586" s="20"/>
      <c r="H586" s="27"/>
    </row>
    <row r="587" spans="3:8" x14ac:dyDescent="0.15">
      <c r="C587" s="26"/>
      <c r="D587" s="22"/>
      <c r="E587" s="20"/>
      <c r="F587" s="20"/>
      <c r="G587" s="20"/>
      <c r="H587" s="27"/>
    </row>
    <row r="588" spans="3:8" x14ac:dyDescent="0.15">
      <c r="C588" s="26"/>
      <c r="D588" s="22"/>
      <c r="E588" s="20"/>
      <c r="F588" s="20"/>
      <c r="G588" s="20"/>
      <c r="H588" s="27"/>
    </row>
    <row r="589" spans="3:8" x14ac:dyDescent="0.15">
      <c r="C589" s="26"/>
      <c r="D589" s="22"/>
      <c r="E589" s="20"/>
      <c r="F589" s="20"/>
      <c r="G589" s="20"/>
      <c r="H589" s="27"/>
    </row>
    <row r="590" spans="3:8" x14ac:dyDescent="0.15">
      <c r="C590" s="26"/>
      <c r="D590" s="22"/>
      <c r="E590" s="20"/>
      <c r="F590" s="20"/>
      <c r="G590" s="20"/>
      <c r="H590" s="27"/>
    </row>
    <row r="591" spans="3:8" x14ac:dyDescent="0.15">
      <c r="C591" s="26"/>
      <c r="D591" s="22"/>
      <c r="E591" s="20"/>
      <c r="F591" s="20"/>
      <c r="G591" s="20"/>
      <c r="H591" s="27"/>
    </row>
    <row r="592" spans="3:8" x14ac:dyDescent="0.15">
      <c r="C592" s="26"/>
      <c r="D592" s="22"/>
      <c r="E592" s="20"/>
      <c r="F592" s="20"/>
      <c r="G592" s="20"/>
      <c r="H592" s="27"/>
    </row>
    <row r="593" spans="3:8" x14ac:dyDescent="0.15">
      <c r="C593" s="26"/>
      <c r="D593" s="22"/>
      <c r="E593" s="20"/>
      <c r="F593" s="20"/>
      <c r="G593" s="20"/>
      <c r="H593" s="27"/>
    </row>
    <row r="594" spans="3:8" x14ac:dyDescent="0.15">
      <c r="C594" s="26"/>
      <c r="D594" s="22"/>
      <c r="E594" s="20"/>
      <c r="F594" s="20"/>
      <c r="G594" s="20"/>
      <c r="H594" s="27"/>
    </row>
    <row r="595" spans="3:8" x14ac:dyDescent="0.15">
      <c r="C595" s="26"/>
      <c r="D595" s="22"/>
      <c r="E595" s="20"/>
      <c r="F595" s="20"/>
      <c r="G595" s="20"/>
      <c r="H595" s="27"/>
    </row>
    <row r="596" spans="3:8" x14ac:dyDescent="0.15">
      <c r="C596" s="26"/>
      <c r="D596" s="22"/>
      <c r="E596" s="20"/>
      <c r="F596" s="20"/>
      <c r="G596" s="20"/>
      <c r="H596" s="27"/>
    </row>
    <row r="597" spans="3:8" x14ac:dyDescent="0.15">
      <c r="C597" s="26"/>
      <c r="D597" s="22"/>
      <c r="E597" s="20"/>
      <c r="F597" s="20"/>
      <c r="G597" s="20"/>
      <c r="H597" s="27"/>
    </row>
    <row r="598" spans="3:8" x14ac:dyDescent="0.15">
      <c r="C598" s="26"/>
      <c r="D598" s="22"/>
      <c r="E598" s="20"/>
      <c r="F598" s="20"/>
      <c r="G598" s="20"/>
      <c r="H598" s="27"/>
    </row>
    <row r="599" spans="3:8" x14ac:dyDescent="0.15">
      <c r="C599" s="26"/>
      <c r="D599" s="22"/>
      <c r="E599" s="20"/>
      <c r="F599" s="20"/>
      <c r="G599" s="20"/>
      <c r="H599" s="27"/>
    </row>
    <row r="600" spans="3:8" x14ac:dyDescent="0.15">
      <c r="C600" s="26"/>
      <c r="D600" s="22"/>
      <c r="E600" s="20"/>
      <c r="F600" s="20"/>
      <c r="G600" s="20"/>
      <c r="H600" s="27"/>
    </row>
    <row r="601" spans="3:8" x14ac:dyDescent="0.15">
      <c r="C601" s="26"/>
      <c r="D601" s="22"/>
      <c r="E601" s="20"/>
      <c r="F601" s="20"/>
      <c r="G601" s="20"/>
      <c r="H601" s="27"/>
    </row>
    <row r="602" spans="3:8" x14ac:dyDescent="0.15">
      <c r="C602" s="26"/>
      <c r="D602" s="22"/>
      <c r="E602" s="20"/>
      <c r="F602" s="20"/>
      <c r="G602" s="20"/>
      <c r="H602" s="27"/>
    </row>
    <row r="603" spans="3:8" x14ac:dyDescent="0.15">
      <c r="C603" s="26"/>
      <c r="D603" s="22"/>
      <c r="E603" s="20"/>
      <c r="F603" s="20"/>
      <c r="G603" s="20"/>
      <c r="H603" s="27"/>
    </row>
    <row r="604" spans="3:8" x14ac:dyDescent="0.15">
      <c r="C604" s="26"/>
      <c r="D604" s="22"/>
      <c r="E604" s="20"/>
      <c r="F604" s="20"/>
      <c r="G604" s="20"/>
      <c r="H604" s="27"/>
    </row>
    <row r="605" spans="3:8" x14ac:dyDescent="0.15">
      <c r="C605" s="26"/>
      <c r="D605" s="22"/>
      <c r="E605" s="20"/>
      <c r="F605" s="20"/>
      <c r="G605" s="20"/>
      <c r="H605" s="27"/>
    </row>
    <row r="606" spans="3:8" x14ac:dyDescent="0.15">
      <c r="C606" s="26"/>
      <c r="D606" s="22"/>
      <c r="E606" s="20"/>
      <c r="F606" s="20"/>
      <c r="G606" s="20"/>
      <c r="H606" s="27"/>
    </row>
    <row r="607" spans="3:8" x14ac:dyDescent="0.15">
      <c r="C607" s="26"/>
      <c r="D607" s="22"/>
      <c r="E607" s="20"/>
      <c r="F607" s="20"/>
      <c r="G607" s="20"/>
      <c r="H607" s="27"/>
    </row>
    <row r="608" spans="3:8" x14ac:dyDescent="0.15">
      <c r="C608" s="26"/>
      <c r="D608" s="22"/>
      <c r="E608" s="20"/>
      <c r="F608" s="20"/>
      <c r="G608" s="20"/>
      <c r="H608" s="27"/>
    </row>
    <row r="609" spans="3:8" x14ac:dyDescent="0.15">
      <c r="C609" s="26"/>
      <c r="D609" s="22"/>
      <c r="E609" s="20"/>
      <c r="F609" s="20"/>
      <c r="G609" s="20"/>
      <c r="H609" s="27"/>
    </row>
    <row r="610" spans="3:8" x14ac:dyDescent="0.15">
      <c r="C610" s="26"/>
      <c r="D610" s="22"/>
      <c r="E610" s="20"/>
      <c r="F610" s="20"/>
      <c r="G610" s="20"/>
      <c r="H610" s="27"/>
    </row>
    <row r="611" spans="3:8" x14ac:dyDescent="0.15">
      <c r="C611" s="26"/>
      <c r="D611" s="22"/>
      <c r="E611" s="20"/>
      <c r="F611" s="20"/>
      <c r="G611" s="20"/>
      <c r="H611" s="27"/>
    </row>
    <row r="612" spans="3:8" x14ac:dyDescent="0.15">
      <c r="C612" s="26"/>
      <c r="D612" s="22"/>
      <c r="E612" s="20"/>
      <c r="F612" s="20"/>
      <c r="G612" s="20"/>
      <c r="H612" s="27"/>
    </row>
    <row r="613" spans="3:8" x14ac:dyDescent="0.15">
      <c r="C613" s="26"/>
      <c r="D613" s="22"/>
      <c r="E613" s="20"/>
      <c r="F613" s="20"/>
      <c r="G613" s="20"/>
      <c r="H613" s="27"/>
    </row>
    <row r="614" spans="3:8" x14ac:dyDescent="0.15">
      <c r="C614" s="26"/>
      <c r="D614" s="22"/>
      <c r="E614" s="20"/>
      <c r="F614" s="20"/>
      <c r="G614" s="20"/>
      <c r="H614" s="27"/>
    </row>
    <row r="615" spans="3:8" x14ac:dyDescent="0.15">
      <c r="C615" s="26"/>
      <c r="D615" s="22"/>
      <c r="E615" s="20"/>
      <c r="F615" s="20"/>
      <c r="G615" s="20"/>
      <c r="H615" s="27"/>
    </row>
    <row r="616" spans="3:8" x14ac:dyDescent="0.15">
      <c r="C616" s="26"/>
      <c r="D616" s="22"/>
      <c r="E616" s="20"/>
      <c r="F616" s="20"/>
      <c r="G616" s="20"/>
      <c r="H616" s="27"/>
    </row>
    <row r="617" spans="3:8" x14ac:dyDescent="0.15">
      <c r="C617" s="26"/>
      <c r="D617" s="22"/>
      <c r="E617" s="20"/>
      <c r="F617" s="20"/>
      <c r="G617" s="20"/>
      <c r="H617" s="27"/>
    </row>
    <row r="618" spans="3:8" x14ac:dyDescent="0.15">
      <c r="C618" s="26"/>
      <c r="D618" s="22"/>
      <c r="E618" s="20"/>
      <c r="F618" s="20"/>
      <c r="G618" s="20"/>
      <c r="H618" s="27"/>
    </row>
    <row r="619" spans="3:8" x14ac:dyDescent="0.15">
      <c r="C619" s="26"/>
      <c r="D619" s="22"/>
      <c r="E619" s="20"/>
      <c r="F619" s="20"/>
      <c r="G619" s="20"/>
      <c r="H619" s="27"/>
    </row>
    <row r="620" spans="3:8" x14ac:dyDescent="0.15">
      <c r="C620" s="26"/>
      <c r="D620" s="22"/>
      <c r="E620" s="20"/>
      <c r="F620" s="20"/>
      <c r="G620" s="20"/>
      <c r="H620" s="27"/>
    </row>
    <row r="621" spans="3:8" x14ac:dyDescent="0.15">
      <c r="C621" s="26"/>
      <c r="D621" s="22"/>
      <c r="E621" s="20"/>
      <c r="F621" s="20"/>
      <c r="G621" s="20"/>
      <c r="H621" s="27"/>
    </row>
    <row r="622" spans="3:8" x14ac:dyDescent="0.15">
      <c r="C622" s="26"/>
      <c r="D622" s="22"/>
      <c r="E622" s="20"/>
      <c r="F622" s="20"/>
      <c r="G622" s="20"/>
      <c r="H622" s="27"/>
    </row>
    <row r="623" spans="3:8" x14ac:dyDescent="0.15">
      <c r="C623" s="26"/>
      <c r="D623" s="22"/>
      <c r="E623" s="20"/>
      <c r="F623" s="20"/>
      <c r="G623" s="20"/>
      <c r="H623" s="27"/>
    </row>
    <row r="624" spans="3:8" x14ac:dyDescent="0.15">
      <c r="C624" s="26"/>
      <c r="D624" s="22"/>
      <c r="E624" s="20"/>
      <c r="F624" s="20"/>
      <c r="G624" s="20"/>
      <c r="H624" s="27"/>
    </row>
    <row r="625" spans="3:8" x14ac:dyDescent="0.15">
      <c r="C625" s="26"/>
      <c r="D625" s="22"/>
      <c r="E625" s="20"/>
      <c r="F625" s="20"/>
      <c r="G625" s="20"/>
      <c r="H625" s="27"/>
    </row>
    <row r="626" spans="3:8" x14ac:dyDescent="0.15">
      <c r="C626" s="26"/>
      <c r="D626" s="22"/>
      <c r="E626" s="20"/>
      <c r="F626" s="20"/>
      <c r="G626" s="20"/>
      <c r="H626" s="27"/>
    </row>
    <row r="627" spans="3:8" x14ac:dyDescent="0.15">
      <c r="C627" s="26"/>
      <c r="D627" s="22"/>
      <c r="E627" s="20"/>
      <c r="F627" s="20"/>
      <c r="G627" s="20"/>
      <c r="H627" s="27"/>
    </row>
    <row r="628" spans="3:8" x14ac:dyDescent="0.15">
      <c r="C628" s="26"/>
      <c r="D628" s="22"/>
      <c r="E628" s="20"/>
      <c r="F628" s="20"/>
      <c r="G628" s="20"/>
      <c r="H628" s="27"/>
    </row>
    <row r="629" spans="3:8" x14ac:dyDescent="0.15">
      <c r="C629" s="26"/>
      <c r="D629" s="22"/>
      <c r="E629" s="20"/>
      <c r="F629" s="20"/>
      <c r="G629" s="20"/>
      <c r="H629" s="27"/>
    </row>
    <row r="630" spans="3:8" x14ac:dyDescent="0.15">
      <c r="C630" s="26"/>
      <c r="D630" s="22"/>
      <c r="E630" s="20"/>
      <c r="F630" s="20"/>
      <c r="G630" s="20"/>
      <c r="H630" s="27"/>
    </row>
    <row r="631" spans="3:8" x14ac:dyDescent="0.15">
      <c r="C631" s="26"/>
      <c r="D631" s="22"/>
      <c r="E631" s="20"/>
      <c r="F631" s="20"/>
      <c r="G631" s="20"/>
      <c r="H631" s="27"/>
    </row>
    <row r="632" spans="3:8" x14ac:dyDescent="0.15">
      <c r="C632" s="26"/>
      <c r="D632" s="22"/>
      <c r="E632" s="20"/>
      <c r="F632" s="20"/>
      <c r="G632" s="20"/>
      <c r="H632" s="27"/>
    </row>
    <row r="633" spans="3:8" x14ac:dyDescent="0.15">
      <c r="C633" s="26"/>
      <c r="D633" s="22"/>
      <c r="E633" s="20"/>
      <c r="F633" s="20"/>
      <c r="G633" s="20"/>
      <c r="H633" s="27"/>
    </row>
    <row r="634" spans="3:8" x14ac:dyDescent="0.15">
      <c r="C634" s="26"/>
      <c r="D634" s="22"/>
      <c r="E634" s="20"/>
      <c r="F634" s="20"/>
      <c r="G634" s="20"/>
      <c r="H634" s="27"/>
    </row>
    <row r="635" spans="3:8" x14ac:dyDescent="0.15">
      <c r="C635" s="26"/>
      <c r="D635" s="22"/>
      <c r="E635" s="20"/>
      <c r="F635" s="20"/>
      <c r="G635" s="20"/>
      <c r="H635" s="27"/>
    </row>
    <row r="636" spans="3:8" x14ac:dyDescent="0.15">
      <c r="C636" s="26"/>
      <c r="D636" s="22"/>
      <c r="E636" s="20"/>
      <c r="F636" s="20"/>
      <c r="G636" s="20"/>
      <c r="H636" s="27"/>
    </row>
    <row r="637" spans="3:8" x14ac:dyDescent="0.15">
      <c r="C637" s="26"/>
      <c r="D637" s="22"/>
      <c r="E637" s="20"/>
      <c r="F637" s="20"/>
      <c r="G637" s="20"/>
      <c r="H637" s="27"/>
    </row>
    <row r="638" spans="3:8" x14ac:dyDescent="0.15">
      <c r="C638" s="26"/>
      <c r="D638" s="22"/>
      <c r="E638" s="20"/>
      <c r="F638" s="20"/>
      <c r="G638" s="20"/>
      <c r="H638" s="27"/>
    </row>
    <row r="639" spans="3:8" x14ac:dyDescent="0.15">
      <c r="C639" s="26"/>
      <c r="D639" s="22"/>
      <c r="E639" s="20"/>
      <c r="F639" s="20"/>
      <c r="G639" s="20"/>
      <c r="H639" s="27"/>
    </row>
    <row r="640" spans="3:8" x14ac:dyDescent="0.15">
      <c r="C640" s="26"/>
      <c r="D640" s="22"/>
      <c r="E640" s="20"/>
      <c r="F640" s="20"/>
      <c r="G640" s="20"/>
      <c r="H640" s="27"/>
    </row>
    <row r="641" spans="3:8" x14ac:dyDescent="0.15">
      <c r="C641" s="26"/>
      <c r="D641" s="22"/>
      <c r="E641" s="20"/>
      <c r="F641" s="20"/>
      <c r="G641" s="20"/>
      <c r="H641" s="27"/>
    </row>
    <row r="642" spans="3:8" x14ac:dyDescent="0.15">
      <c r="C642" s="26"/>
      <c r="D642" s="22"/>
      <c r="E642" s="20"/>
      <c r="F642" s="20"/>
      <c r="G642" s="20"/>
      <c r="H642" s="27"/>
    </row>
    <row r="643" spans="3:8" x14ac:dyDescent="0.15">
      <c r="C643" s="26"/>
      <c r="D643" s="22"/>
      <c r="E643" s="20"/>
      <c r="F643" s="20"/>
      <c r="G643" s="20"/>
      <c r="H643" s="27"/>
    </row>
    <row r="644" spans="3:8" x14ac:dyDescent="0.15">
      <c r="C644" s="26"/>
      <c r="D644" s="22"/>
      <c r="E644" s="20"/>
      <c r="F644" s="20"/>
      <c r="G644" s="20"/>
      <c r="H644" s="27"/>
    </row>
    <row r="645" spans="3:8" x14ac:dyDescent="0.15">
      <c r="C645" s="26"/>
      <c r="D645" s="22"/>
      <c r="E645" s="20"/>
      <c r="F645" s="20"/>
      <c r="G645" s="20"/>
      <c r="H645" s="27"/>
    </row>
    <row r="646" spans="3:8" x14ac:dyDescent="0.15">
      <c r="C646" s="26"/>
      <c r="D646" s="22"/>
      <c r="E646" s="20"/>
      <c r="F646" s="20"/>
      <c r="G646" s="20"/>
      <c r="H646" s="27"/>
    </row>
    <row r="647" spans="3:8" x14ac:dyDescent="0.15">
      <c r="C647" s="26"/>
      <c r="D647" s="22"/>
      <c r="E647" s="20"/>
      <c r="F647" s="20"/>
      <c r="G647" s="20"/>
      <c r="H647" s="27"/>
    </row>
    <row r="648" spans="3:8" x14ac:dyDescent="0.15">
      <c r="C648" s="26"/>
      <c r="D648" s="22"/>
      <c r="E648" s="20"/>
      <c r="F648" s="20"/>
      <c r="G648" s="20"/>
      <c r="H648" s="27"/>
    </row>
    <row r="649" spans="3:8" x14ac:dyDescent="0.15">
      <c r="C649" s="26"/>
      <c r="D649" s="22"/>
      <c r="E649" s="20"/>
      <c r="F649" s="20"/>
      <c r="G649" s="20"/>
      <c r="H649" s="27"/>
    </row>
    <row r="650" spans="3:8" x14ac:dyDescent="0.15">
      <c r="C650" s="26"/>
      <c r="D650" s="22"/>
      <c r="E650" s="20"/>
      <c r="F650" s="20"/>
      <c r="G650" s="20"/>
      <c r="H650" s="27"/>
    </row>
    <row r="651" spans="3:8" x14ac:dyDescent="0.15">
      <c r="C651" s="26"/>
      <c r="D651" s="22"/>
      <c r="E651" s="20"/>
      <c r="F651" s="20"/>
      <c r="G651" s="20"/>
      <c r="H651" s="27"/>
    </row>
    <row r="652" spans="3:8" x14ac:dyDescent="0.15">
      <c r="C652" s="26"/>
      <c r="D652" s="22"/>
      <c r="E652" s="20"/>
      <c r="F652" s="20"/>
      <c r="G652" s="20"/>
      <c r="H652" s="27"/>
    </row>
    <row r="653" spans="3:8" x14ac:dyDescent="0.15">
      <c r="C653" s="26"/>
      <c r="D653" s="22"/>
      <c r="E653" s="20"/>
      <c r="F653" s="20"/>
      <c r="G653" s="20"/>
      <c r="H653" s="27"/>
    </row>
    <row r="654" spans="3:8" x14ac:dyDescent="0.15">
      <c r="C654" s="26"/>
      <c r="D654" s="22"/>
      <c r="E654" s="20"/>
      <c r="F654" s="20"/>
      <c r="G654" s="20"/>
      <c r="H654" s="27"/>
    </row>
    <row r="655" spans="3:8" x14ac:dyDescent="0.15">
      <c r="C655" s="26"/>
      <c r="D655" s="22"/>
      <c r="E655" s="20"/>
      <c r="F655" s="20"/>
      <c r="G655" s="20"/>
      <c r="H655" s="27"/>
    </row>
    <row r="656" spans="3:8" x14ac:dyDescent="0.15">
      <c r="C656" s="26"/>
      <c r="D656" s="22"/>
      <c r="E656" s="20"/>
      <c r="F656" s="20"/>
      <c r="G656" s="20"/>
      <c r="H656" s="27"/>
    </row>
    <row r="657" spans="3:8" x14ac:dyDescent="0.15">
      <c r="C657" s="26"/>
      <c r="D657" s="22"/>
      <c r="E657" s="20"/>
      <c r="F657" s="20"/>
      <c r="G657" s="20"/>
      <c r="H657" s="27"/>
    </row>
    <row r="658" spans="3:8" x14ac:dyDescent="0.15">
      <c r="C658" s="26"/>
      <c r="D658" s="22"/>
      <c r="E658" s="20"/>
      <c r="F658" s="20"/>
      <c r="G658" s="20"/>
      <c r="H658" s="27"/>
    </row>
    <row r="659" spans="3:8" x14ac:dyDescent="0.15">
      <c r="C659" s="26"/>
      <c r="D659" s="22"/>
      <c r="E659" s="20"/>
      <c r="F659" s="20"/>
      <c r="G659" s="20"/>
      <c r="H659" s="27"/>
    </row>
    <row r="660" spans="3:8" x14ac:dyDescent="0.15">
      <c r="C660" s="26"/>
      <c r="D660" s="22"/>
      <c r="E660" s="20"/>
      <c r="F660" s="20"/>
      <c r="G660" s="20"/>
      <c r="H660" s="27"/>
    </row>
    <row r="661" spans="3:8" x14ac:dyDescent="0.15">
      <c r="C661" s="26"/>
      <c r="D661" s="22"/>
      <c r="E661" s="20"/>
      <c r="F661" s="20"/>
      <c r="G661" s="20"/>
      <c r="H661" s="27"/>
    </row>
    <row r="662" spans="3:8" x14ac:dyDescent="0.15">
      <c r="C662" s="26"/>
      <c r="D662" s="22"/>
      <c r="E662" s="20"/>
      <c r="F662" s="20"/>
      <c r="G662" s="20"/>
      <c r="H662" s="27"/>
    </row>
    <row r="663" spans="3:8" x14ac:dyDescent="0.15">
      <c r="C663" s="26"/>
      <c r="D663" s="22"/>
      <c r="E663" s="20"/>
      <c r="F663" s="20"/>
      <c r="G663" s="20"/>
      <c r="H663" s="27"/>
    </row>
    <row r="664" spans="3:8" x14ac:dyDescent="0.15">
      <c r="C664" s="26"/>
      <c r="D664" s="22"/>
      <c r="E664" s="20"/>
      <c r="F664" s="20"/>
      <c r="G664" s="20"/>
      <c r="H664" s="27"/>
    </row>
    <row r="665" spans="3:8" x14ac:dyDescent="0.15">
      <c r="C665" s="26"/>
      <c r="D665" s="22"/>
      <c r="E665" s="20"/>
      <c r="F665" s="20"/>
      <c r="G665" s="20"/>
      <c r="H665" s="27"/>
    </row>
    <row r="666" spans="3:8" x14ac:dyDescent="0.15">
      <c r="C666" s="26"/>
      <c r="D666" s="22"/>
      <c r="E666" s="20"/>
      <c r="F666" s="20"/>
      <c r="G666" s="20"/>
      <c r="H666" s="27"/>
    </row>
    <row r="667" spans="3:8" x14ac:dyDescent="0.15">
      <c r="C667" s="26"/>
      <c r="D667" s="22"/>
      <c r="E667" s="20"/>
      <c r="F667" s="20"/>
      <c r="G667" s="20"/>
      <c r="H667" s="27"/>
    </row>
    <row r="668" spans="3:8" x14ac:dyDescent="0.15">
      <c r="C668" s="26"/>
      <c r="D668" s="22"/>
      <c r="E668" s="20"/>
      <c r="F668" s="20"/>
      <c r="G668" s="20"/>
      <c r="H668" s="27"/>
    </row>
    <row r="669" spans="3:8" x14ac:dyDescent="0.15">
      <c r="C669" s="26"/>
      <c r="D669" s="22"/>
      <c r="E669" s="20"/>
      <c r="F669" s="20"/>
      <c r="G669" s="20"/>
      <c r="H669" s="27"/>
    </row>
    <row r="670" spans="3:8" x14ac:dyDescent="0.15">
      <c r="C670" s="26"/>
      <c r="D670" s="22"/>
      <c r="E670" s="20"/>
      <c r="F670" s="20"/>
      <c r="G670" s="20"/>
      <c r="H670" s="27"/>
    </row>
    <row r="671" spans="3:8" x14ac:dyDescent="0.15">
      <c r="C671" s="26"/>
      <c r="D671" s="22"/>
      <c r="E671" s="20"/>
      <c r="F671" s="20"/>
      <c r="G671" s="20"/>
      <c r="H671" s="27"/>
    </row>
    <row r="672" spans="3:8" x14ac:dyDescent="0.15">
      <c r="C672" s="26"/>
      <c r="D672" s="22"/>
      <c r="E672" s="20"/>
      <c r="F672" s="20"/>
      <c r="G672" s="20"/>
      <c r="H672" s="27"/>
    </row>
    <row r="673" spans="3:8" x14ac:dyDescent="0.15">
      <c r="C673" s="26"/>
      <c r="D673" s="22"/>
      <c r="E673" s="20"/>
      <c r="F673" s="20"/>
      <c r="G673" s="20"/>
      <c r="H673" s="27"/>
    </row>
    <row r="674" spans="3:8" x14ac:dyDescent="0.15">
      <c r="C674" s="26"/>
      <c r="D674" s="22"/>
      <c r="E674" s="20"/>
      <c r="F674" s="20"/>
      <c r="G674" s="20"/>
      <c r="H674" s="27"/>
    </row>
    <row r="675" spans="3:8" x14ac:dyDescent="0.15">
      <c r="C675" s="26"/>
      <c r="D675" s="22"/>
      <c r="E675" s="20"/>
      <c r="F675" s="20"/>
      <c r="G675" s="20"/>
      <c r="H675" s="27"/>
    </row>
    <row r="676" spans="3:8" x14ac:dyDescent="0.15">
      <c r="C676" s="26"/>
      <c r="D676" s="22"/>
      <c r="E676" s="20"/>
      <c r="F676" s="20"/>
      <c r="G676" s="20"/>
      <c r="H676" s="27"/>
    </row>
    <row r="677" spans="3:8" x14ac:dyDescent="0.15">
      <c r="C677" s="26"/>
      <c r="D677" s="22"/>
      <c r="E677" s="20"/>
      <c r="F677" s="20"/>
      <c r="G677" s="20"/>
      <c r="H677" s="27"/>
    </row>
    <row r="678" spans="3:8" x14ac:dyDescent="0.15">
      <c r="C678" s="26"/>
      <c r="D678" s="22"/>
      <c r="E678" s="20"/>
      <c r="F678" s="20"/>
      <c r="G678" s="20"/>
      <c r="H678" s="27"/>
    </row>
    <row r="679" spans="3:8" x14ac:dyDescent="0.15">
      <c r="C679" s="26"/>
      <c r="D679" s="22"/>
      <c r="E679" s="20"/>
      <c r="F679" s="20"/>
      <c r="G679" s="20"/>
      <c r="H679" s="27"/>
    </row>
    <row r="680" spans="3:8" x14ac:dyDescent="0.15">
      <c r="C680" s="26"/>
      <c r="D680" s="22"/>
      <c r="E680" s="20"/>
      <c r="F680" s="20"/>
      <c r="G680" s="20"/>
      <c r="H680" s="27"/>
    </row>
    <row r="681" spans="3:8" x14ac:dyDescent="0.15">
      <c r="C681" s="26"/>
      <c r="D681" s="22"/>
      <c r="E681" s="20"/>
      <c r="F681" s="20"/>
      <c r="G681" s="20"/>
      <c r="H681" s="27"/>
    </row>
    <row r="682" spans="3:8" x14ac:dyDescent="0.15">
      <c r="C682" s="26"/>
      <c r="D682" s="22"/>
      <c r="E682" s="20"/>
      <c r="F682" s="20"/>
      <c r="G682" s="20"/>
      <c r="H682" s="27"/>
    </row>
    <row r="683" spans="3:8" x14ac:dyDescent="0.15">
      <c r="C683" s="26"/>
      <c r="D683" s="22"/>
      <c r="E683" s="20"/>
      <c r="F683" s="20"/>
      <c r="G683" s="20"/>
      <c r="H683" s="27"/>
    </row>
    <row r="684" spans="3:8" x14ac:dyDescent="0.15">
      <c r="C684" s="26"/>
      <c r="D684" s="22"/>
      <c r="E684" s="20"/>
      <c r="F684" s="20"/>
      <c r="G684" s="20"/>
      <c r="H684" s="27"/>
    </row>
    <row r="685" spans="3:8" x14ac:dyDescent="0.15">
      <c r="C685" s="26"/>
      <c r="D685" s="22"/>
      <c r="E685" s="20"/>
      <c r="F685" s="20"/>
      <c r="G685" s="20"/>
      <c r="H685" s="27"/>
    </row>
    <row r="686" spans="3:8" x14ac:dyDescent="0.15">
      <c r="C686" s="26"/>
      <c r="D686" s="22"/>
      <c r="E686" s="20"/>
      <c r="F686" s="20"/>
      <c r="G686" s="20"/>
      <c r="H686" s="27"/>
    </row>
    <row r="687" spans="3:8" x14ac:dyDescent="0.15">
      <c r="C687" s="26"/>
      <c r="D687" s="22"/>
      <c r="E687" s="20"/>
      <c r="F687" s="20"/>
      <c r="G687" s="20"/>
      <c r="H687" s="27"/>
    </row>
    <row r="688" spans="3:8" x14ac:dyDescent="0.15">
      <c r="C688" s="26"/>
      <c r="D688" s="22"/>
      <c r="E688" s="20"/>
      <c r="F688" s="20"/>
      <c r="G688" s="20"/>
      <c r="H688" s="27"/>
    </row>
    <row r="689" spans="3:8" x14ac:dyDescent="0.15">
      <c r="C689" s="26"/>
      <c r="D689" s="22"/>
      <c r="E689" s="20"/>
      <c r="F689" s="20"/>
      <c r="G689" s="20"/>
      <c r="H689" s="27"/>
    </row>
    <row r="690" spans="3:8" x14ac:dyDescent="0.15">
      <c r="C690" s="26"/>
      <c r="D690" s="22"/>
      <c r="E690" s="20"/>
      <c r="F690" s="20"/>
      <c r="G690" s="20"/>
      <c r="H690" s="27"/>
    </row>
    <row r="691" spans="3:8" x14ac:dyDescent="0.15">
      <c r="C691" s="26"/>
      <c r="D691" s="22"/>
      <c r="E691" s="20"/>
      <c r="F691" s="20"/>
      <c r="G691" s="20"/>
      <c r="H691" s="27"/>
    </row>
    <row r="692" spans="3:8" x14ac:dyDescent="0.15">
      <c r="C692" s="26"/>
      <c r="D692" s="22"/>
      <c r="E692" s="20"/>
      <c r="F692" s="20"/>
      <c r="G692" s="20"/>
      <c r="H692" s="27"/>
    </row>
    <row r="693" spans="3:8" x14ac:dyDescent="0.15">
      <c r="C693" s="26"/>
      <c r="D693" s="22"/>
      <c r="E693" s="20"/>
      <c r="F693" s="20"/>
      <c r="G693" s="20"/>
      <c r="H693" s="27"/>
    </row>
    <row r="694" spans="3:8" x14ac:dyDescent="0.15">
      <c r="C694" s="26"/>
      <c r="D694" s="22"/>
      <c r="E694" s="20"/>
      <c r="F694" s="20"/>
      <c r="G694" s="20"/>
      <c r="H694" s="27"/>
    </row>
    <row r="695" spans="3:8" x14ac:dyDescent="0.15">
      <c r="C695" s="26"/>
      <c r="D695" s="22"/>
      <c r="E695" s="20"/>
      <c r="F695" s="20"/>
      <c r="G695" s="20"/>
      <c r="H695" s="27"/>
    </row>
    <row r="696" spans="3:8" x14ac:dyDescent="0.15">
      <c r="C696" s="26"/>
      <c r="D696" s="22"/>
      <c r="E696" s="20"/>
      <c r="F696" s="20"/>
      <c r="G696" s="20"/>
      <c r="H696" s="27"/>
    </row>
    <row r="697" spans="3:8" x14ac:dyDescent="0.15">
      <c r="C697" s="26"/>
      <c r="D697" s="22"/>
      <c r="E697" s="20"/>
      <c r="F697" s="20"/>
      <c r="G697" s="20"/>
      <c r="H697" s="27"/>
    </row>
    <row r="698" spans="3:8" x14ac:dyDescent="0.15">
      <c r="C698" s="26"/>
      <c r="D698" s="22"/>
      <c r="E698" s="20"/>
      <c r="F698" s="20"/>
      <c r="G698" s="20"/>
      <c r="H698" s="27"/>
    </row>
    <row r="699" spans="3:8" x14ac:dyDescent="0.15">
      <c r="C699" s="26"/>
      <c r="D699" s="22"/>
      <c r="E699" s="20"/>
      <c r="F699" s="20"/>
      <c r="G699" s="20"/>
      <c r="H699" s="27"/>
    </row>
    <row r="700" spans="3:8" x14ac:dyDescent="0.15">
      <c r="C700" s="26"/>
      <c r="D700" s="22"/>
      <c r="E700" s="20"/>
      <c r="F700" s="20"/>
      <c r="G700" s="20"/>
      <c r="H700" s="27"/>
    </row>
    <row r="701" spans="3:8" x14ac:dyDescent="0.15">
      <c r="C701" s="26"/>
      <c r="D701" s="22"/>
      <c r="E701" s="20"/>
      <c r="F701" s="20"/>
      <c r="G701" s="20"/>
      <c r="H701" s="27"/>
    </row>
    <row r="702" spans="3:8" x14ac:dyDescent="0.15">
      <c r="C702" s="26"/>
      <c r="D702" s="22"/>
      <c r="E702" s="20"/>
      <c r="F702" s="20"/>
      <c r="G702" s="20"/>
      <c r="H702" s="27"/>
    </row>
    <row r="703" spans="3:8" x14ac:dyDescent="0.15">
      <c r="C703" s="26"/>
      <c r="D703" s="22"/>
      <c r="E703" s="20"/>
      <c r="F703" s="20"/>
      <c r="G703" s="20"/>
      <c r="H703" s="27"/>
    </row>
    <row r="704" spans="3:8" x14ac:dyDescent="0.15">
      <c r="C704" s="26"/>
      <c r="D704" s="22"/>
      <c r="E704" s="20"/>
      <c r="F704" s="20"/>
      <c r="G704" s="20"/>
      <c r="H704" s="27"/>
    </row>
    <row r="705" spans="3:8" x14ac:dyDescent="0.15">
      <c r="C705" s="26"/>
      <c r="D705" s="22"/>
      <c r="E705" s="20"/>
      <c r="F705" s="20"/>
      <c r="G705" s="20"/>
      <c r="H705" s="27"/>
    </row>
    <row r="706" spans="3:8" x14ac:dyDescent="0.15">
      <c r="C706" s="26"/>
      <c r="D706" s="22"/>
      <c r="E706" s="20"/>
      <c r="F706" s="20"/>
      <c r="G706" s="20"/>
      <c r="H706" s="27"/>
    </row>
    <row r="707" spans="3:8" x14ac:dyDescent="0.15">
      <c r="C707" s="26"/>
      <c r="D707" s="22"/>
      <c r="E707" s="20"/>
      <c r="F707" s="20"/>
      <c r="G707" s="20"/>
      <c r="H707" s="27"/>
    </row>
    <row r="708" spans="3:8" x14ac:dyDescent="0.15">
      <c r="C708" s="26"/>
      <c r="D708" s="22"/>
      <c r="E708" s="20"/>
      <c r="F708" s="20"/>
      <c r="G708" s="20"/>
      <c r="H708" s="27"/>
    </row>
    <row r="709" spans="3:8" x14ac:dyDescent="0.15">
      <c r="C709" s="26"/>
      <c r="D709" s="22"/>
      <c r="E709" s="20"/>
      <c r="F709" s="20"/>
      <c r="G709" s="20"/>
      <c r="H709" s="27"/>
    </row>
    <row r="710" spans="3:8" x14ac:dyDescent="0.15">
      <c r="C710" s="26"/>
      <c r="D710" s="22"/>
      <c r="E710" s="20"/>
      <c r="F710" s="20"/>
      <c r="G710" s="20"/>
      <c r="H710" s="27"/>
    </row>
    <row r="711" spans="3:8" x14ac:dyDescent="0.15">
      <c r="C711" s="26"/>
      <c r="D711" s="22"/>
      <c r="E711" s="20"/>
      <c r="F711" s="20"/>
      <c r="G711" s="20"/>
      <c r="H711" s="27"/>
    </row>
    <row r="712" spans="3:8" x14ac:dyDescent="0.15">
      <c r="C712" s="26"/>
      <c r="D712" s="22"/>
      <c r="E712" s="20"/>
      <c r="F712" s="20"/>
      <c r="G712" s="20"/>
      <c r="H712" s="27"/>
    </row>
    <row r="713" spans="3:8" x14ac:dyDescent="0.15">
      <c r="C713" s="26"/>
      <c r="D713" s="22"/>
      <c r="E713" s="20"/>
      <c r="F713" s="20"/>
      <c r="G713" s="20"/>
      <c r="H713" s="27"/>
    </row>
    <row r="714" spans="3:8" x14ac:dyDescent="0.15">
      <c r="C714" s="26"/>
      <c r="D714" s="22"/>
      <c r="E714" s="20"/>
      <c r="F714" s="20"/>
      <c r="G714" s="20"/>
      <c r="H714" s="27"/>
    </row>
    <row r="715" spans="3:8" x14ac:dyDescent="0.15">
      <c r="C715" s="26"/>
      <c r="D715" s="22"/>
      <c r="E715" s="20"/>
      <c r="F715" s="20"/>
      <c r="G715" s="20"/>
      <c r="H715" s="27"/>
    </row>
    <row r="716" spans="3:8" x14ac:dyDescent="0.15">
      <c r="C716" s="26"/>
      <c r="D716" s="22"/>
      <c r="E716" s="20"/>
      <c r="F716" s="20"/>
      <c r="G716" s="20"/>
      <c r="H716" s="27"/>
    </row>
    <row r="717" spans="3:8" x14ac:dyDescent="0.15">
      <c r="C717" s="26"/>
      <c r="D717" s="22"/>
      <c r="E717" s="20"/>
      <c r="F717" s="20"/>
      <c r="G717" s="20"/>
      <c r="H717" s="27"/>
    </row>
    <row r="718" spans="3:8" x14ac:dyDescent="0.15">
      <c r="C718" s="26"/>
      <c r="D718" s="22"/>
      <c r="E718" s="20"/>
      <c r="F718" s="20"/>
      <c r="G718" s="20"/>
      <c r="H718" s="27"/>
    </row>
    <row r="719" spans="3:8" x14ac:dyDescent="0.15">
      <c r="C719" s="26"/>
      <c r="D719" s="22"/>
      <c r="E719" s="20"/>
      <c r="F719" s="20"/>
      <c r="G719" s="20"/>
      <c r="H719" s="27"/>
    </row>
    <row r="720" spans="3:8" x14ac:dyDescent="0.15">
      <c r="C720" s="26"/>
      <c r="D720" s="22"/>
      <c r="E720" s="20"/>
      <c r="F720" s="20"/>
      <c r="G720" s="20"/>
      <c r="H720" s="27"/>
    </row>
    <row r="721" spans="3:8" x14ac:dyDescent="0.15">
      <c r="C721" s="26"/>
      <c r="D721" s="22"/>
      <c r="E721" s="20"/>
      <c r="F721" s="20"/>
      <c r="G721" s="20"/>
      <c r="H721" s="27"/>
    </row>
    <row r="722" spans="3:8" x14ac:dyDescent="0.15">
      <c r="C722" s="26"/>
      <c r="D722" s="22"/>
      <c r="E722" s="20"/>
      <c r="F722" s="20"/>
      <c r="G722" s="20"/>
      <c r="H722" s="27"/>
    </row>
    <row r="723" spans="3:8" x14ac:dyDescent="0.15">
      <c r="C723" s="26"/>
      <c r="D723" s="22"/>
      <c r="E723" s="20"/>
      <c r="F723" s="20"/>
      <c r="G723" s="20"/>
      <c r="H723" s="27"/>
    </row>
    <row r="724" spans="3:8" x14ac:dyDescent="0.15">
      <c r="C724" s="26"/>
      <c r="D724" s="22"/>
      <c r="E724" s="20"/>
      <c r="F724" s="20"/>
      <c r="G724" s="20"/>
      <c r="H724" s="27"/>
    </row>
    <row r="725" spans="3:8" x14ac:dyDescent="0.15">
      <c r="C725" s="26"/>
      <c r="D725" s="22"/>
      <c r="E725" s="20"/>
      <c r="F725" s="20"/>
      <c r="G725" s="20"/>
      <c r="H725" s="27"/>
    </row>
    <row r="726" spans="3:8" x14ac:dyDescent="0.15">
      <c r="C726" s="26"/>
      <c r="D726" s="22"/>
      <c r="E726" s="20"/>
      <c r="F726" s="20"/>
      <c r="G726" s="20"/>
      <c r="H726" s="27"/>
    </row>
    <row r="727" spans="3:8" x14ac:dyDescent="0.15">
      <c r="C727" s="26"/>
      <c r="D727" s="22"/>
      <c r="E727" s="20"/>
      <c r="F727" s="20"/>
      <c r="G727" s="20"/>
      <c r="H727" s="27"/>
    </row>
    <row r="728" spans="3:8" x14ac:dyDescent="0.15">
      <c r="C728" s="26"/>
      <c r="D728" s="22"/>
      <c r="E728" s="20"/>
      <c r="F728" s="20"/>
      <c r="G728" s="20"/>
      <c r="H728" s="27"/>
    </row>
    <row r="729" spans="3:8" x14ac:dyDescent="0.15">
      <c r="C729" s="26"/>
      <c r="D729" s="22"/>
      <c r="E729" s="20"/>
      <c r="F729" s="20"/>
      <c r="G729" s="20"/>
      <c r="H729" s="27"/>
    </row>
    <row r="730" spans="3:8" x14ac:dyDescent="0.15">
      <c r="C730" s="26"/>
      <c r="D730" s="22"/>
      <c r="E730" s="20"/>
      <c r="F730" s="20"/>
      <c r="G730" s="20"/>
      <c r="H730" s="27"/>
    </row>
    <row r="731" spans="3:8" x14ac:dyDescent="0.15">
      <c r="C731" s="26"/>
      <c r="D731" s="22"/>
      <c r="E731" s="20"/>
      <c r="F731" s="20"/>
      <c r="G731" s="20"/>
      <c r="H731" s="27"/>
    </row>
    <row r="732" spans="3:8" x14ac:dyDescent="0.15">
      <c r="C732" s="26"/>
      <c r="D732" s="22"/>
      <c r="E732" s="20"/>
      <c r="F732" s="20"/>
      <c r="G732" s="20"/>
      <c r="H732" s="27"/>
    </row>
    <row r="733" spans="3:8" x14ac:dyDescent="0.15">
      <c r="C733" s="26"/>
      <c r="D733" s="22"/>
      <c r="E733" s="20"/>
      <c r="F733" s="20"/>
      <c r="G733" s="20"/>
      <c r="H733" s="27"/>
    </row>
    <row r="734" spans="3:8" x14ac:dyDescent="0.15">
      <c r="C734" s="26"/>
      <c r="D734" s="22"/>
      <c r="E734" s="20"/>
      <c r="F734" s="20"/>
      <c r="G734" s="20"/>
      <c r="H734" s="27"/>
    </row>
    <row r="735" spans="3:8" x14ac:dyDescent="0.15">
      <c r="C735" s="26"/>
      <c r="D735" s="22"/>
      <c r="E735" s="20"/>
      <c r="F735" s="20"/>
      <c r="G735" s="20"/>
      <c r="H735" s="27"/>
    </row>
    <row r="736" spans="3:8" x14ac:dyDescent="0.15">
      <c r="C736" s="26"/>
      <c r="D736" s="22"/>
      <c r="E736" s="20"/>
      <c r="F736" s="20"/>
      <c r="G736" s="20"/>
      <c r="H736" s="27"/>
    </row>
    <row r="737" spans="3:8" x14ac:dyDescent="0.15">
      <c r="C737" s="26"/>
      <c r="D737" s="22"/>
      <c r="E737" s="20"/>
      <c r="F737" s="20"/>
      <c r="G737" s="20"/>
      <c r="H737" s="27"/>
    </row>
    <row r="738" spans="3:8" x14ac:dyDescent="0.15">
      <c r="C738" s="26"/>
      <c r="D738" s="22"/>
      <c r="E738" s="20"/>
      <c r="F738" s="20"/>
      <c r="G738" s="20"/>
      <c r="H738" s="27"/>
    </row>
    <row r="739" spans="3:8" x14ac:dyDescent="0.15">
      <c r="C739" s="26"/>
      <c r="D739" s="22"/>
      <c r="E739" s="20"/>
      <c r="F739" s="20"/>
      <c r="G739" s="20"/>
      <c r="H739" s="27"/>
    </row>
    <row r="740" spans="3:8" x14ac:dyDescent="0.15">
      <c r="C740" s="26"/>
      <c r="D740" s="22"/>
      <c r="E740" s="20"/>
      <c r="F740" s="20"/>
      <c r="G740" s="20"/>
      <c r="H740" s="27"/>
    </row>
    <row r="741" spans="3:8" x14ac:dyDescent="0.15">
      <c r="C741" s="26"/>
      <c r="D741" s="22"/>
      <c r="E741" s="20"/>
      <c r="F741" s="20"/>
      <c r="G741" s="20"/>
      <c r="H741" s="27"/>
    </row>
    <row r="742" spans="3:8" x14ac:dyDescent="0.15">
      <c r="C742" s="26"/>
      <c r="D742" s="22"/>
      <c r="E742" s="20"/>
      <c r="F742" s="20"/>
      <c r="G742" s="20"/>
      <c r="H742" s="27"/>
    </row>
    <row r="743" spans="3:8" x14ac:dyDescent="0.15">
      <c r="C743" s="26"/>
      <c r="D743" s="22"/>
      <c r="E743" s="20"/>
      <c r="F743" s="20"/>
      <c r="G743" s="20"/>
      <c r="H743" s="27"/>
    </row>
    <row r="744" spans="3:8" x14ac:dyDescent="0.15">
      <c r="C744" s="26"/>
      <c r="D744" s="22"/>
      <c r="E744" s="20"/>
      <c r="F744" s="20"/>
      <c r="G744" s="20"/>
      <c r="H744" s="27"/>
    </row>
    <row r="745" spans="3:8" x14ac:dyDescent="0.15">
      <c r="C745" s="26"/>
      <c r="D745" s="22"/>
      <c r="E745" s="20"/>
      <c r="F745" s="20"/>
      <c r="G745" s="20"/>
      <c r="H745" s="27"/>
    </row>
    <row r="746" spans="3:8" x14ac:dyDescent="0.15">
      <c r="C746" s="26"/>
      <c r="D746" s="22"/>
      <c r="E746" s="20"/>
      <c r="F746" s="20"/>
      <c r="G746" s="20"/>
      <c r="H746" s="27"/>
    </row>
    <row r="747" spans="3:8" x14ac:dyDescent="0.15">
      <c r="C747" s="26"/>
      <c r="D747" s="22"/>
      <c r="E747" s="20"/>
      <c r="F747" s="20"/>
      <c r="G747" s="20"/>
      <c r="H747" s="27"/>
    </row>
    <row r="748" spans="3:8" x14ac:dyDescent="0.15">
      <c r="C748" s="26"/>
      <c r="D748" s="22"/>
      <c r="E748" s="20"/>
      <c r="F748" s="20"/>
      <c r="G748" s="20"/>
      <c r="H748" s="27"/>
    </row>
    <row r="749" spans="3:8" x14ac:dyDescent="0.15">
      <c r="C749" s="26"/>
      <c r="D749" s="22"/>
      <c r="E749" s="20"/>
      <c r="F749" s="20"/>
      <c r="G749" s="20"/>
      <c r="H749" s="27"/>
    </row>
    <row r="750" spans="3:8" x14ac:dyDescent="0.15">
      <c r="C750" s="26"/>
      <c r="D750" s="22"/>
      <c r="E750" s="20"/>
      <c r="F750" s="20"/>
      <c r="G750" s="20"/>
      <c r="H750" s="27"/>
    </row>
    <row r="751" spans="3:8" x14ac:dyDescent="0.15">
      <c r="C751" s="26"/>
      <c r="D751" s="22"/>
      <c r="E751" s="20"/>
      <c r="F751" s="20"/>
      <c r="G751" s="20"/>
      <c r="H751" s="27"/>
    </row>
    <row r="752" spans="3:8" x14ac:dyDescent="0.15">
      <c r="C752" s="26"/>
      <c r="D752" s="22"/>
      <c r="E752" s="20"/>
      <c r="F752" s="20"/>
      <c r="G752" s="20"/>
      <c r="H752" s="27"/>
    </row>
    <row r="753" spans="3:8" x14ac:dyDescent="0.15">
      <c r="C753" s="26"/>
      <c r="D753" s="22"/>
      <c r="E753" s="20"/>
      <c r="F753" s="20"/>
      <c r="G753" s="20"/>
      <c r="H753" s="27"/>
    </row>
    <row r="754" spans="3:8" x14ac:dyDescent="0.15">
      <c r="C754" s="26"/>
      <c r="D754" s="22"/>
      <c r="E754" s="20"/>
      <c r="F754" s="20"/>
      <c r="G754" s="20"/>
      <c r="H754" s="27"/>
    </row>
    <row r="755" spans="3:8" x14ac:dyDescent="0.15">
      <c r="C755" s="26"/>
      <c r="D755" s="22"/>
      <c r="E755" s="20"/>
      <c r="F755" s="20"/>
      <c r="G755" s="20"/>
      <c r="H755" s="27"/>
    </row>
    <row r="756" spans="3:8" x14ac:dyDescent="0.15">
      <c r="C756" s="26"/>
      <c r="D756" s="22"/>
      <c r="E756" s="20"/>
      <c r="F756" s="20"/>
      <c r="G756" s="20"/>
      <c r="H756" s="27"/>
    </row>
    <row r="757" spans="3:8" x14ac:dyDescent="0.15">
      <c r="C757" s="26"/>
      <c r="D757" s="22"/>
      <c r="E757" s="20"/>
      <c r="F757" s="20"/>
      <c r="G757" s="20"/>
      <c r="H757" s="27"/>
    </row>
    <row r="758" spans="3:8" x14ac:dyDescent="0.15">
      <c r="C758" s="26"/>
      <c r="D758" s="22"/>
      <c r="E758" s="20"/>
      <c r="F758" s="20"/>
      <c r="G758" s="20"/>
      <c r="H758" s="27"/>
    </row>
    <row r="759" spans="3:8" x14ac:dyDescent="0.15">
      <c r="C759" s="26"/>
      <c r="D759" s="22"/>
      <c r="E759" s="20"/>
      <c r="F759" s="20"/>
      <c r="G759" s="20"/>
      <c r="H759" s="27"/>
    </row>
    <row r="760" spans="3:8" x14ac:dyDescent="0.15">
      <c r="C760" s="26"/>
      <c r="D760" s="22"/>
      <c r="E760" s="20"/>
      <c r="F760" s="20"/>
      <c r="G760" s="20"/>
      <c r="H760" s="27"/>
    </row>
    <row r="761" spans="3:8" x14ac:dyDescent="0.15">
      <c r="C761" s="26"/>
      <c r="D761" s="22"/>
      <c r="E761" s="20"/>
      <c r="F761" s="20"/>
      <c r="G761" s="20"/>
      <c r="H761" s="27"/>
    </row>
    <row r="762" spans="3:8" x14ac:dyDescent="0.15">
      <c r="C762" s="26"/>
      <c r="D762" s="22"/>
      <c r="E762" s="20"/>
      <c r="F762" s="20"/>
      <c r="G762" s="20"/>
      <c r="H762" s="27"/>
    </row>
    <row r="763" spans="3:8" x14ac:dyDescent="0.15">
      <c r="C763" s="26"/>
      <c r="D763" s="22"/>
      <c r="E763" s="20"/>
      <c r="F763" s="20"/>
      <c r="G763" s="20"/>
      <c r="H763" s="27"/>
    </row>
    <row r="764" spans="3:8" x14ac:dyDescent="0.15">
      <c r="C764" s="26"/>
      <c r="D764" s="22"/>
      <c r="E764" s="20"/>
      <c r="F764" s="20"/>
      <c r="G764" s="20"/>
      <c r="H764" s="27"/>
    </row>
    <row r="765" spans="3:8" x14ac:dyDescent="0.15">
      <c r="C765" s="26"/>
      <c r="D765" s="22"/>
      <c r="E765" s="20"/>
      <c r="F765" s="20"/>
      <c r="G765" s="20"/>
      <c r="H765" s="27"/>
    </row>
    <row r="766" spans="3:8" x14ac:dyDescent="0.15">
      <c r="C766" s="26"/>
      <c r="D766" s="22"/>
      <c r="E766" s="20"/>
      <c r="F766" s="20"/>
      <c r="G766" s="20"/>
      <c r="H766" s="27"/>
    </row>
    <row r="767" spans="3:8" x14ac:dyDescent="0.15">
      <c r="C767" s="26"/>
      <c r="D767" s="22"/>
      <c r="E767" s="20"/>
      <c r="F767" s="20"/>
      <c r="G767" s="20"/>
      <c r="H767" s="27"/>
    </row>
    <row r="768" spans="3:8" x14ac:dyDescent="0.15">
      <c r="C768" s="26"/>
      <c r="D768" s="22"/>
      <c r="E768" s="20"/>
      <c r="F768" s="20"/>
      <c r="G768" s="20"/>
      <c r="H768" s="27"/>
    </row>
    <row r="769" spans="3:8" x14ac:dyDescent="0.15">
      <c r="C769" s="26"/>
      <c r="D769" s="22"/>
      <c r="E769" s="20"/>
      <c r="F769" s="20"/>
      <c r="G769" s="20"/>
      <c r="H769" s="27"/>
    </row>
    <row r="770" spans="3:8" x14ac:dyDescent="0.15">
      <c r="C770" s="26"/>
      <c r="D770" s="22"/>
      <c r="E770" s="20"/>
      <c r="F770" s="20"/>
      <c r="G770" s="20"/>
      <c r="H770" s="27"/>
    </row>
    <row r="771" spans="3:8" x14ac:dyDescent="0.15">
      <c r="C771" s="26"/>
      <c r="D771" s="22"/>
      <c r="E771" s="20"/>
      <c r="F771" s="20"/>
      <c r="G771" s="20"/>
      <c r="H771" s="27"/>
    </row>
    <row r="772" spans="3:8" x14ac:dyDescent="0.15">
      <c r="C772" s="26"/>
      <c r="D772" s="22"/>
      <c r="E772" s="20"/>
      <c r="F772" s="20"/>
      <c r="G772" s="20"/>
      <c r="H772" s="27"/>
    </row>
    <row r="773" spans="3:8" x14ac:dyDescent="0.15">
      <c r="C773" s="26"/>
      <c r="D773" s="22"/>
      <c r="E773" s="20"/>
      <c r="F773" s="20"/>
      <c r="G773" s="20"/>
      <c r="H773" s="27"/>
    </row>
    <row r="774" spans="3:8" x14ac:dyDescent="0.15">
      <c r="C774" s="26"/>
      <c r="D774" s="22"/>
      <c r="E774" s="20"/>
      <c r="F774" s="20"/>
      <c r="G774" s="20"/>
      <c r="H774" s="27"/>
    </row>
    <row r="775" spans="3:8" x14ac:dyDescent="0.15">
      <c r="C775" s="26"/>
      <c r="D775" s="22"/>
      <c r="E775" s="20"/>
      <c r="F775" s="20"/>
      <c r="G775" s="20"/>
      <c r="H775" s="27"/>
    </row>
    <row r="776" spans="3:8" x14ac:dyDescent="0.15">
      <c r="C776" s="26"/>
      <c r="D776" s="22"/>
      <c r="E776" s="20"/>
      <c r="F776" s="20"/>
      <c r="G776" s="20"/>
      <c r="H776" s="27"/>
    </row>
    <row r="777" spans="3:8" x14ac:dyDescent="0.15">
      <c r="C777" s="26"/>
      <c r="D777" s="22"/>
      <c r="E777" s="20"/>
      <c r="F777" s="20"/>
      <c r="G777" s="20"/>
      <c r="H777" s="27"/>
    </row>
    <row r="778" spans="3:8" x14ac:dyDescent="0.15">
      <c r="C778" s="26"/>
      <c r="D778" s="22"/>
      <c r="E778" s="20"/>
      <c r="F778" s="20"/>
      <c r="G778" s="20"/>
      <c r="H778" s="27"/>
    </row>
    <row r="779" spans="3:8" x14ac:dyDescent="0.15">
      <c r="C779" s="26"/>
      <c r="D779" s="22"/>
      <c r="E779" s="20"/>
      <c r="F779" s="20"/>
      <c r="G779" s="20"/>
      <c r="H779" s="27"/>
    </row>
    <row r="780" spans="3:8" x14ac:dyDescent="0.15">
      <c r="C780" s="26"/>
      <c r="D780" s="22"/>
      <c r="E780" s="20"/>
      <c r="F780" s="20"/>
      <c r="G780" s="20"/>
      <c r="H780" s="27"/>
    </row>
    <row r="781" spans="3:8" x14ac:dyDescent="0.15">
      <c r="C781" s="26"/>
      <c r="D781" s="22"/>
      <c r="E781" s="20"/>
      <c r="F781" s="20"/>
      <c r="G781" s="20"/>
      <c r="H781" s="27"/>
    </row>
    <row r="782" spans="3:8" x14ac:dyDescent="0.15">
      <c r="C782" s="26"/>
      <c r="D782" s="22"/>
      <c r="E782" s="20"/>
      <c r="F782" s="20"/>
      <c r="G782" s="20"/>
      <c r="H782" s="27"/>
    </row>
    <row r="783" spans="3:8" x14ac:dyDescent="0.15">
      <c r="C783" s="26"/>
      <c r="D783" s="22"/>
      <c r="E783" s="20"/>
      <c r="F783" s="20"/>
      <c r="G783" s="20"/>
      <c r="H783" s="27"/>
    </row>
    <row r="784" spans="3:8" x14ac:dyDescent="0.15">
      <c r="C784" s="26"/>
      <c r="D784" s="22"/>
      <c r="E784" s="20"/>
      <c r="F784" s="20"/>
      <c r="G784" s="20"/>
      <c r="H784" s="27"/>
    </row>
    <row r="785" spans="3:8" x14ac:dyDescent="0.15">
      <c r="C785" s="26"/>
      <c r="D785" s="22"/>
      <c r="E785" s="20"/>
      <c r="F785" s="20"/>
      <c r="G785" s="20"/>
      <c r="H785" s="27"/>
    </row>
    <row r="786" spans="3:8" x14ac:dyDescent="0.15">
      <c r="C786" s="26"/>
      <c r="D786" s="22"/>
      <c r="E786" s="20"/>
      <c r="F786" s="20"/>
      <c r="G786" s="20"/>
      <c r="H786" s="27"/>
    </row>
    <row r="787" spans="3:8" x14ac:dyDescent="0.15">
      <c r="C787" s="26"/>
      <c r="D787" s="22"/>
      <c r="E787" s="20"/>
      <c r="F787" s="20"/>
      <c r="G787" s="20"/>
      <c r="H787" s="27"/>
    </row>
    <row r="788" spans="3:8" x14ac:dyDescent="0.15">
      <c r="C788" s="26"/>
      <c r="D788" s="22"/>
      <c r="E788" s="20"/>
      <c r="F788" s="20"/>
      <c r="G788" s="20"/>
      <c r="H788" s="27"/>
    </row>
    <row r="789" spans="3:8" x14ac:dyDescent="0.15">
      <c r="C789" s="26"/>
      <c r="D789" s="22"/>
      <c r="E789" s="20"/>
      <c r="F789" s="20"/>
      <c r="G789" s="20"/>
      <c r="H789" s="27"/>
    </row>
    <row r="790" spans="3:8" x14ac:dyDescent="0.15">
      <c r="C790" s="26"/>
      <c r="D790" s="22"/>
      <c r="E790" s="20"/>
      <c r="F790" s="20"/>
      <c r="G790" s="20"/>
      <c r="H790" s="27"/>
    </row>
    <row r="791" spans="3:8" x14ac:dyDescent="0.15">
      <c r="C791" s="26"/>
      <c r="D791" s="22"/>
      <c r="E791" s="20"/>
      <c r="F791" s="20"/>
      <c r="G791" s="20"/>
      <c r="H791" s="27"/>
    </row>
    <row r="792" spans="3:8" x14ac:dyDescent="0.15">
      <c r="C792" s="26"/>
      <c r="D792" s="22"/>
      <c r="E792" s="20"/>
      <c r="F792" s="20"/>
      <c r="G792" s="20"/>
      <c r="H792" s="27"/>
    </row>
    <row r="793" spans="3:8" x14ac:dyDescent="0.15">
      <c r="C793" s="26"/>
      <c r="D793" s="22"/>
      <c r="E793" s="20"/>
      <c r="F793" s="20"/>
      <c r="G793" s="20"/>
      <c r="H793" s="27"/>
    </row>
    <row r="794" spans="3:8" x14ac:dyDescent="0.15">
      <c r="C794" s="26"/>
      <c r="D794" s="22"/>
      <c r="E794" s="20"/>
      <c r="F794" s="20"/>
      <c r="G794" s="20"/>
      <c r="H794" s="27"/>
    </row>
    <row r="795" spans="3:8" x14ac:dyDescent="0.15">
      <c r="C795" s="26"/>
      <c r="D795" s="22"/>
      <c r="E795" s="20"/>
      <c r="F795" s="20"/>
      <c r="G795" s="20"/>
      <c r="H795" s="27"/>
    </row>
    <row r="796" spans="3:8" x14ac:dyDescent="0.15">
      <c r="C796" s="26"/>
      <c r="D796" s="22"/>
      <c r="E796" s="20"/>
      <c r="F796" s="20"/>
      <c r="G796" s="20"/>
      <c r="H796" s="27"/>
    </row>
    <row r="797" spans="3:8" x14ac:dyDescent="0.15">
      <c r="C797" s="26"/>
      <c r="D797" s="22"/>
      <c r="E797" s="20"/>
      <c r="F797" s="20"/>
      <c r="G797" s="20"/>
      <c r="H797" s="27"/>
    </row>
    <row r="798" spans="3:8" x14ac:dyDescent="0.15">
      <c r="C798" s="26"/>
      <c r="D798" s="22"/>
      <c r="E798" s="20"/>
      <c r="F798" s="20"/>
      <c r="G798" s="20"/>
      <c r="H798" s="27"/>
    </row>
    <row r="799" spans="3:8" x14ac:dyDescent="0.15">
      <c r="C799" s="26"/>
      <c r="D799" s="22"/>
      <c r="E799" s="20"/>
      <c r="F799" s="20"/>
      <c r="G799" s="20"/>
      <c r="H799" s="27"/>
    </row>
    <row r="800" spans="3:8" x14ac:dyDescent="0.15">
      <c r="C800" s="26"/>
      <c r="D800" s="22"/>
      <c r="E800" s="20"/>
      <c r="F800" s="20"/>
      <c r="G800" s="20"/>
      <c r="H800" s="27"/>
    </row>
    <row r="801" spans="3:8" x14ac:dyDescent="0.15">
      <c r="C801" s="26"/>
      <c r="D801" s="22"/>
      <c r="E801" s="20"/>
      <c r="F801" s="20"/>
      <c r="G801" s="20"/>
      <c r="H801" s="27"/>
    </row>
    <row r="802" spans="3:8" x14ac:dyDescent="0.15">
      <c r="C802" s="26"/>
      <c r="D802" s="22"/>
      <c r="E802" s="20"/>
      <c r="F802" s="20"/>
      <c r="G802" s="20"/>
      <c r="H802" s="27"/>
    </row>
    <row r="803" spans="3:8" x14ac:dyDescent="0.15">
      <c r="C803" s="26"/>
      <c r="D803" s="22"/>
      <c r="E803" s="20"/>
      <c r="F803" s="20"/>
      <c r="G803" s="20"/>
      <c r="H803" s="27"/>
    </row>
    <row r="804" spans="3:8" x14ac:dyDescent="0.15">
      <c r="C804" s="26"/>
      <c r="D804" s="22"/>
      <c r="E804" s="20"/>
      <c r="F804" s="20"/>
      <c r="G804" s="20"/>
      <c r="H804" s="27"/>
    </row>
    <row r="805" spans="3:8" x14ac:dyDescent="0.15">
      <c r="C805" s="26"/>
      <c r="D805" s="22"/>
      <c r="E805" s="20"/>
      <c r="F805" s="20"/>
      <c r="G805" s="20"/>
      <c r="H805" s="27"/>
    </row>
    <row r="806" spans="3:8" x14ac:dyDescent="0.15">
      <c r="C806" s="26"/>
      <c r="D806" s="22"/>
      <c r="E806" s="20"/>
      <c r="F806" s="20"/>
      <c r="G806" s="20"/>
      <c r="H806" s="27"/>
    </row>
    <row r="807" spans="3:8" x14ac:dyDescent="0.15">
      <c r="C807" s="26"/>
      <c r="D807" s="22"/>
      <c r="E807" s="20"/>
      <c r="F807" s="20"/>
      <c r="G807" s="20"/>
      <c r="H807" s="27"/>
    </row>
    <row r="808" spans="3:8" x14ac:dyDescent="0.15">
      <c r="C808" s="26"/>
      <c r="D808" s="22"/>
      <c r="E808" s="20"/>
      <c r="F808" s="20"/>
      <c r="G808" s="20"/>
      <c r="H808" s="27"/>
    </row>
    <row r="809" spans="3:8" x14ac:dyDescent="0.15">
      <c r="C809" s="26"/>
      <c r="D809" s="22"/>
      <c r="E809" s="20"/>
      <c r="F809" s="20"/>
      <c r="G809" s="20"/>
      <c r="H809" s="27"/>
    </row>
    <row r="810" spans="3:8" x14ac:dyDescent="0.15">
      <c r="C810" s="26"/>
      <c r="D810" s="22"/>
      <c r="E810" s="20"/>
      <c r="F810" s="20"/>
      <c r="G810" s="20"/>
      <c r="H810" s="27"/>
    </row>
    <row r="811" spans="3:8" x14ac:dyDescent="0.15">
      <c r="C811" s="26"/>
      <c r="D811" s="22"/>
      <c r="E811" s="20"/>
      <c r="F811" s="20"/>
      <c r="G811" s="20"/>
      <c r="H811" s="27"/>
    </row>
    <row r="812" spans="3:8" x14ac:dyDescent="0.15">
      <c r="C812" s="26"/>
      <c r="D812" s="22"/>
      <c r="E812" s="20"/>
      <c r="F812" s="20"/>
      <c r="G812" s="20"/>
      <c r="H812" s="27"/>
    </row>
    <row r="813" spans="3:8" x14ac:dyDescent="0.15">
      <c r="C813" s="26"/>
      <c r="D813" s="22"/>
      <c r="E813" s="20"/>
      <c r="F813" s="20"/>
      <c r="G813" s="20"/>
      <c r="H813" s="27"/>
    </row>
    <row r="814" spans="3:8" x14ac:dyDescent="0.15">
      <c r="C814" s="26"/>
      <c r="D814" s="22"/>
      <c r="E814" s="20"/>
      <c r="F814" s="20"/>
      <c r="G814" s="20"/>
      <c r="H814" s="27"/>
    </row>
    <row r="815" spans="3:8" x14ac:dyDescent="0.15">
      <c r="C815" s="26"/>
      <c r="D815" s="22"/>
      <c r="E815" s="20"/>
      <c r="F815" s="20"/>
      <c r="G815" s="20"/>
      <c r="H815" s="27"/>
    </row>
    <row r="816" spans="3:8" x14ac:dyDescent="0.15">
      <c r="C816" s="26"/>
      <c r="D816" s="22"/>
      <c r="E816" s="20"/>
      <c r="F816" s="20"/>
      <c r="G816" s="20"/>
      <c r="H816" s="27"/>
    </row>
    <row r="817" spans="3:8" x14ac:dyDescent="0.15">
      <c r="C817" s="26"/>
      <c r="D817" s="22"/>
      <c r="E817" s="20"/>
      <c r="F817" s="20"/>
      <c r="G817" s="20"/>
      <c r="H817" s="27"/>
    </row>
    <row r="818" spans="3:8" x14ac:dyDescent="0.15">
      <c r="C818" s="26"/>
      <c r="D818" s="22"/>
      <c r="E818" s="20"/>
      <c r="F818" s="20"/>
      <c r="G818" s="20"/>
      <c r="H818" s="27"/>
    </row>
    <row r="819" spans="3:8" x14ac:dyDescent="0.15">
      <c r="C819" s="26"/>
      <c r="D819" s="22"/>
      <c r="E819" s="20"/>
      <c r="F819" s="20"/>
      <c r="G819" s="20"/>
      <c r="H819" s="27"/>
    </row>
    <row r="820" spans="3:8" x14ac:dyDescent="0.15">
      <c r="C820" s="26"/>
      <c r="D820" s="22"/>
      <c r="E820" s="20"/>
      <c r="F820" s="20"/>
      <c r="G820" s="20"/>
      <c r="H820" s="27"/>
    </row>
    <row r="821" spans="3:8" x14ac:dyDescent="0.15">
      <c r="C821" s="26"/>
      <c r="D821" s="22"/>
      <c r="E821" s="20"/>
      <c r="F821" s="20"/>
      <c r="G821" s="20"/>
      <c r="H821" s="27"/>
    </row>
    <row r="822" spans="3:8" x14ac:dyDescent="0.15">
      <c r="C822" s="26"/>
      <c r="D822" s="22"/>
      <c r="E822" s="20"/>
      <c r="F822" s="20"/>
      <c r="G822" s="20"/>
      <c r="H822" s="27"/>
    </row>
    <row r="823" spans="3:8" x14ac:dyDescent="0.15">
      <c r="C823" s="26"/>
      <c r="D823" s="22"/>
      <c r="E823" s="20"/>
      <c r="F823" s="20"/>
      <c r="G823" s="20"/>
      <c r="H823" s="27"/>
    </row>
    <row r="824" spans="3:8" x14ac:dyDescent="0.15">
      <c r="C824" s="26"/>
      <c r="D824" s="22"/>
      <c r="E824" s="20"/>
      <c r="F824" s="20"/>
      <c r="G824" s="20"/>
      <c r="H824" s="27"/>
    </row>
    <row r="825" spans="3:8" x14ac:dyDescent="0.15">
      <c r="C825" s="26"/>
      <c r="D825" s="22"/>
      <c r="E825" s="20"/>
      <c r="F825" s="20"/>
      <c r="G825" s="20"/>
      <c r="H825" s="27"/>
    </row>
    <row r="826" spans="3:8" x14ac:dyDescent="0.15">
      <c r="C826" s="26"/>
      <c r="D826" s="22"/>
      <c r="E826" s="20"/>
      <c r="F826" s="20"/>
      <c r="G826" s="20"/>
      <c r="H826" s="27"/>
    </row>
    <row r="827" spans="3:8" x14ac:dyDescent="0.15">
      <c r="C827" s="26"/>
      <c r="D827" s="22"/>
      <c r="E827" s="20"/>
      <c r="F827" s="20"/>
      <c r="G827" s="20"/>
      <c r="H827" s="27"/>
    </row>
    <row r="828" spans="3:8" x14ac:dyDescent="0.15">
      <c r="C828" s="26"/>
      <c r="D828" s="22"/>
      <c r="E828" s="20"/>
      <c r="F828" s="20"/>
      <c r="G828" s="20"/>
      <c r="H828" s="27"/>
    </row>
    <row r="829" spans="3:8" x14ac:dyDescent="0.15">
      <c r="C829" s="26"/>
      <c r="D829" s="22"/>
      <c r="E829" s="20"/>
      <c r="F829" s="20"/>
      <c r="G829" s="20"/>
      <c r="H829" s="27"/>
    </row>
    <row r="830" spans="3:8" x14ac:dyDescent="0.15">
      <c r="C830" s="26"/>
      <c r="D830" s="22"/>
      <c r="E830" s="20"/>
      <c r="F830" s="20"/>
      <c r="G830" s="20"/>
      <c r="H830" s="27"/>
    </row>
    <row r="831" spans="3:8" x14ac:dyDescent="0.15">
      <c r="C831" s="26"/>
      <c r="D831" s="22"/>
      <c r="E831" s="20"/>
      <c r="F831" s="20"/>
      <c r="G831" s="20"/>
      <c r="H831" s="27"/>
    </row>
    <row r="832" spans="3:8" x14ac:dyDescent="0.15">
      <c r="C832" s="26"/>
      <c r="D832" s="22"/>
      <c r="E832" s="20"/>
      <c r="F832" s="20"/>
      <c r="G832" s="20"/>
      <c r="H832" s="27"/>
    </row>
    <row r="833" spans="3:8" x14ac:dyDescent="0.15">
      <c r="C833" s="26"/>
      <c r="D833" s="22"/>
      <c r="E833" s="20"/>
      <c r="F833" s="20"/>
      <c r="G833" s="20"/>
      <c r="H833" s="27"/>
    </row>
    <row r="834" spans="3:8" x14ac:dyDescent="0.15">
      <c r="C834" s="26"/>
      <c r="D834" s="22"/>
      <c r="E834" s="20"/>
      <c r="F834" s="20"/>
      <c r="G834" s="20"/>
      <c r="H834" s="27"/>
    </row>
    <row r="835" spans="3:8" x14ac:dyDescent="0.15">
      <c r="C835" s="26"/>
      <c r="D835" s="22"/>
      <c r="E835" s="20"/>
      <c r="F835" s="20"/>
      <c r="G835" s="20"/>
      <c r="H835" s="27"/>
    </row>
    <row r="836" spans="3:8" x14ac:dyDescent="0.15">
      <c r="C836" s="26"/>
      <c r="D836" s="22"/>
      <c r="E836" s="20"/>
      <c r="F836" s="20"/>
      <c r="G836" s="20"/>
      <c r="H836" s="27"/>
    </row>
    <row r="837" spans="3:8" x14ac:dyDescent="0.15">
      <c r="C837" s="26"/>
      <c r="D837" s="22"/>
      <c r="E837" s="20"/>
      <c r="F837" s="20"/>
      <c r="G837" s="20"/>
      <c r="H837" s="27"/>
    </row>
    <row r="838" spans="3:8" x14ac:dyDescent="0.15">
      <c r="C838" s="26"/>
      <c r="D838" s="22"/>
      <c r="E838" s="20"/>
      <c r="F838" s="20"/>
      <c r="G838" s="20"/>
      <c r="H838" s="27"/>
    </row>
    <row r="839" spans="3:8" x14ac:dyDescent="0.15">
      <c r="C839" s="26"/>
      <c r="D839" s="22"/>
      <c r="E839" s="20"/>
      <c r="F839" s="20"/>
      <c r="G839" s="20"/>
      <c r="H839" s="27"/>
    </row>
    <row r="840" spans="3:8" x14ac:dyDescent="0.15">
      <c r="C840" s="26"/>
      <c r="D840" s="22"/>
      <c r="E840" s="20"/>
      <c r="F840" s="20"/>
      <c r="G840" s="20"/>
      <c r="H840" s="27"/>
    </row>
    <row r="841" spans="3:8" x14ac:dyDescent="0.15">
      <c r="C841" s="26"/>
      <c r="D841" s="22"/>
      <c r="E841" s="20"/>
      <c r="F841" s="20"/>
      <c r="G841" s="20"/>
      <c r="H841" s="27"/>
    </row>
    <row r="842" spans="3:8" x14ac:dyDescent="0.15">
      <c r="C842" s="26"/>
      <c r="D842" s="22"/>
      <c r="E842" s="20"/>
      <c r="F842" s="20"/>
      <c r="G842" s="20"/>
      <c r="H842" s="27"/>
    </row>
    <row r="843" spans="3:8" x14ac:dyDescent="0.15">
      <c r="C843" s="26"/>
      <c r="D843" s="22"/>
      <c r="E843" s="20"/>
      <c r="F843" s="20"/>
      <c r="G843" s="20"/>
      <c r="H843" s="27"/>
    </row>
    <row r="844" spans="3:8" x14ac:dyDescent="0.15">
      <c r="C844" s="26"/>
      <c r="D844" s="22"/>
      <c r="E844" s="20"/>
      <c r="F844" s="20"/>
      <c r="G844" s="20"/>
      <c r="H844" s="27"/>
    </row>
    <row r="845" spans="3:8" x14ac:dyDescent="0.15">
      <c r="C845" s="26"/>
      <c r="D845" s="22"/>
      <c r="E845" s="20"/>
      <c r="F845" s="20"/>
      <c r="G845" s="20"/>
      <c r="H845" s="27"/>
    </row>
    <row r="846" spans="3:8" x14ac:dyDescent="0.15">
      <c r="C846" s="26"/>
      <c r="D846" s="22"/>
      <c r="E846" s="20"/>
      <c r="F846" s="20"/>
      <c r="G846" s="20"/>
      <c r="H846" s="27"/>
    </row>
    <row r="847" spans="3:8" x14ac:dyDescent="0.15">
      <c r="C847" s="26"/>
      <c r="D847" s="22"/>
      <c r="E847" s="20"/>
      <c r="F847" s="20"/>
      <c r="G847" s="20"/>
      <c r="H847" s="27"/>
    </row>
    <row r="848" spans="3:8" x14ac:dyDescent="0.15">
      <c r="C848" s="26"/>
      <c r="D848" s="22"/>
      <c r="E848" s="20"/>
      <c r="F848" s="20"/>
      <c r="G848" s="20"/>
      <c r="H848" s="27"/>
    </row>
    <row r="849" spans="3:8" x14ac:dyDescent="0.15">
      <c r="C849" s="26"/>
      <c r="D849" s="22"/>
      <c r="E849" s="20"/>
      <c r="F849" s="20"/>
      <c r="G849" s="20"/>
      <c r="H849" s="27"/>
    </row>
    <row r="850" spans="3:8" x14ac:dyDescent="0.15">
      <c r="C850" s="26"/>
      <c r="D850" s="22"/>
      <c r="E850" s="20"/>
      <c r="F850" s="20"/>
      <c r="G850" s="20"/>
      <c r="H850" s="27"/>
    </row>
    <row r="851" spans="3:8" x14ac:dyDescent="0.15">
      <c r="C851" s="26"/>
      <c r="D851" s="22"/>
      <c r="E851" s="20"/>
      <c r="F851" s="20"/>
      <c r="G851" s="20"/>
      <c r="H851" s="27"/>
    </row>
    <row r="852" spans="3:8" x14ac:dyDescent="0.15">
      <c r="C852" s="26"/>
      <c r="D852" s="22"/>
      <c r="E852" s="20"/>
      <c r="F852" s="20"/>
      <c r="G852" s="20"/>
      <c r="H852" s="27"/>
    </row>
    <row r="853" spans="3:8" x14ac:dyDescent="0.15">
      <c r="C853" s="26"/>
      <c r="D853" s="22"/>
      <c r="E853" s="20"/>
      <c r="F853" s="20"/>
      <c r="G853" s="20"/>
      <c r="H853" s="27"/>
    </row>
    <row r="854" spans="3:8" x14ac:dyDescent="0.15">
      <c r="C854" s="26"/>
      <c r="D854" s="22"/>
      <c r="E854" s="20"/>
      <c r="F854" s="20"/>
      <c r="G854" s="20"/>
      <c r="H854" s="27"/>
    </row>
    <row r="855" spans="3:8" x14ac:dyDescent="0.15">
      <c r="C855" s="26"/>
      <c r="D855" s="22"/>
      <c r="E855" s="20"/>
      <c r="F855" s="20"/>
      <c r="G855" s="20"/>
      <c r="H855" s="27"/>
    </row>
    <row r="856" spans="3:8" x14ac:dyDescent="0.15">
      <c r="C856" s="26"/>
      <c r="D856" s="22"/>
      <c r="E856" s="20"/>
      <c r="F856" s="20"/>
      <c r="G856" s="20"/>
      <c r="H856" s="27"/>
    </row>
    <row r="857" spans="3:8" x14ac:dyDescent="0.15">
      <c r="C857" s="26"/>
      <c r="D857" s="22"/>
      <c r="E857" s="20"/>
      <c r="F857" s="20"/>
      <c r="G857" s="20"/>
      <c r="H857" s="27"/>
    </row>
    <row r="858" spans="3:8" x14ac:dyDescent="0.15">
      <c r="C858" s="26"/>
      <c r="D858" s="22"/>
      <c r="E858" s="20"/>
      <c r="F858" s="20"/>
      <c r="G858" s="20"/>
      <c r="H858" s="27"/>
    </row>
    <row r="859" spans="3:8" x14ac:dyDescent="0.15">
      <c r="C859" s="26"/>
      <c r="D859" s="22"/>
      <c r="E859" s="20"/>
      <c r="F859" s="20"/>
      <c r="G859" s="20"/>
      <c r="H859" s="27"/>
    </row>
    <row r="860" spans="3:8" x14ac:dyDescent="0.15">
      <c r="C860" s="26"/>
      <c r="D860" s="22"/>
      <c r="E860" s="20"/>
      <c r="F860" s="20"/>
      <c r="G860" s="20"/>
      <c r="H860" s="27"/>
    </row>
    <row r="861" spans="3:8" x14ac:dyDescent="0.15">
      <c r="C861" s="26"/>
      <c r="D861" s="22"/>
      <c r="E861" s="20"/>
      <c r="F861" s="20"/>
      <c r="G861" s="20"/>
      <c r="H861" s="27"/>
    </row>
    <row r="862" spans="3:8" x14ac:dyDescent="0.15">
      <c r="C862" s="26"/>
      <c r="D862" s="22"/>
      <c r="E862" s="20"/>
      <c r="F862" s="20"/>
      <c r="G862" s="20"/>
      <c r="H862" s="27"/>
    </row>
    <row r="863" spans="3:8" x14ac:dyDescent="0.15">
      <c r="C863" s="26"/>
      <c r="D863" s="22"/>
      <c r="E863" s="20"/>
      <c r="F863" s="20"/>
      <c r="G863" s="20"/>
      <c r="H863" s="27"/>
    </row>
    <row r="864" spans="3:8" x14ac:dyDescent="0.15">
      <c r="C864" s="26"/>
      <c r="D864" s="22"/>
      <c r="E864" s="20"/>
      <c r="F864" s="20"/>
      <c r="G864" s="20"/>
      <c r="H864" s="27"/>
    </row>
    <row r="865" spans="3:8" x14ac:dyDescent="0.15">
      <c r="C865" s="26"/>
      <c r="D865" s="22"/>
      <c r="E865" s="20"/>
      <c r="F865" s="20"/>
      <c r="G865" s="20"/>
      <c r="H865" s="27"/>
    </row>
    <row r="866" spans="3:8" x14ac:dyDescent="0.15">
      <c r="C866" s="26"/>
      <c r="D866" s="22"/>
      <c r="E866" s="20"/>
      <c r="F866" s="20"/>
      <c r="G866" s="20"/>
      <c r="H866" s="27"/>
    </row>
    <row r="867" spans="3:8" x14ac:dyDescent="0.15">
      <c r="C867" s="26"/>
      <c r="D867" s="22"/>
      <c r="E867" s="20"/>
      <c r="F867" s="20"/>
      <c r="G867" s="20"/>
      <c r="H867" s="27"/>
    </row>
    <row r="868" spans="3:8" x14ac:dyDescent="0.15">
      <c r="C868" s="26"/>
      <c r="D868" s="22"/>
      <c r="E868" s="20"/>
      <c r="F868" s="20"/>
      <c r="G868" s="20"/>
      <c r="H868" s="27"/>
    </row>
    <row r="869" spans="3:8" x14ac:dyDescent="0.15">
      <c r="C869" s="26"/>
      <c r="D869" s="22"/>
      <c r="E869" s="20"/>
      <c r="F869" s="20"/>
      <c r="G869" s="20"/>
      <c r="H869" s="27"/>
    </row>
    <row r="870" spans="3:8" x14ac:dyDescent="0.15">
      <c r="C870" s="26"/>
      <c r="D870" s="22"/>
      <c r="E870" s="20"/>
      <c r="F870" s="20"/>
      <c r="G870" s="20"/>
      <c r="H870" s="27"/>
    </row>
    <row r="871" spans="3:8" x14ac:dyDescent="0.15">
      <c r="C871" s="26"/>
      <c r="D871" s="22"/>
      <c r="E871" s="20"/>
      <c r="F871" s="20"/>
      <c r="G871" s="20"/>
      <c r="H871" s="27"/>
    </row>
    <row r="872" spans="3:8" x14ac:dyDescent="0.15">
      <c r="C872" s="26"/>
      <c r="D872" s="22"/>
      <c r="E872" s="20"/>
      <c r="F872" s="20"/>
      <c r="G872" s="20"/>
      <c r="H872" s="27"/>
    </row>
    <row r="873" spans="3:8" x14ac:dyDescent="0.15">
      <c r="C873" s="26"/>
      <c r="D873" s="22"/>
      <c r="E873" s="20"/>
      <c r="F873" s="20"/>
      <c r="G873" s="20"/>
      <c r="H873" s="27"/>
    </row>
    <row r="874" spans="3:8" x14ac:dyDescent="0.15">
      <c r="C874" s="26"/>
      <c r="D874" s="22"/>
      <c r="E874" s="20"/>
      <c r="F874" s="20"/>
      <c r="G874" s="20"/>
      <c r="H874" s="27"/>
    </row>
    <row r="875" spans="3:8" x14ac:dyDescent="0.15">
      <c r="C875" s="26"/>
      <c r="D875" s="22"/>
      <c r="E875" s="20"/>
      <c r="F875" s="20"/>
      <c r="G875" s="20"/>
      <c r="H875" s="27"/>
    </row>
    <row r="876" spans="3:8" x14ac:dyDescent="0.15">
      <c r="C876" s="26"/>
      <c r="D876" s="22"/>
      <c r="E876" s="20"/>
      <c r="F876" s="20"/>
      <c r="G876" s="20"/>
      <c r="H876" s="27"/>
    </row>
    <row r="877" spans="3:8" x14ac:dyDescent="0.15">
      <c r="C877" s="26"/>
      <c r="D877" s="22"/>
      <c r="E877" s="20"/>
      <c r="F877" s="20"/>
      <c r="G877" s="20"/>
      <c r="H877" s="27"/>
    </row>
    <row r="878" spans="3:8" x14ac:dyDescent="0.15">
      <c r="C878" s="26"/>
      <c r="D878" s="22"/>
      <c r="E878" s="20"/>
      <c r="F878" s="20"/>
      <c r="G878" s="20"/>
      <c r="H878" s="27"/>
    </row>
    <row r="879" spans="3:8" x14ac:dyDescent="0.15">
      <c r="C879" s="26"/>
      <c r="D879" s="22"/>
      <c r="E879" s="20"/>
      <c r="F879" s="20"/>
      <c r="G879" s="20"/>
      <c r="H879" s="27"/>
    </row>
    <row r="880" spans="3:8" x14ac:dyDescent="0.15">
      <c r="C880" s="26"/>
      <c r="D880" s="22"/>
      <c r="E880" s="20"/>
      <c r="F880" s="20"/>
      <c r="G880" s="20"/>
      <c r="H880" s="27"/>
    </row>
    <row r="881" spans="3:8" x14ac:dyDescent="0.15">
      <c r="C881" s="26"/>
      <c r="D881" s="22"/>
      <c r="E881" s="20"/>
      <c r="F881" s="20"/>
      <c r="G881" s="20"/>
      <c r="H881" s="27"/>
    </row>
    <row r="882" spans="3:8" x14ac:dyDescent="0.15">
      <c r="C882" s="26"/>
      <c r="D882" s="22"/>
      <c r="E882" s="20"/>
      <c r="F882" s="20"/>
      <c r="G882" s="20"/>
      <c r="H882" s="27"/>
    </row>
    <row r="883" spans="3:8" x14ac:dyDescent="0.15">
      <c r="C883" s="26"/>
      <c r="D883" s="22"/>
      <c r="E883" s="20"/>
      <c r="F883" s="20"/>
      <c r="G883" s="20"/>
      <c r="H883" s="27"/>
    </row>
    <row r="884" spans="3:8" x14ac:dyDescent="0.15">
      <c r="C884" s="26"/>
      <c r="D884" s="22"/>
      <c r="E884" s="20"/>
      <c r="F884" s="20"/>
      <c r="G884" s="20"/>
      <c r="H884" s="27"/>
    </row>
    <row r="885" spans="3:8" x14ac:dyDescent="0.15">
      <c r="C885" s="26"/>
      <c r="D885" s="22"/>
      <c r="E885" s="20"/>
      <c r="F885" s="20"/>
      <c r="G885" s="20"/>
      <c r="H885" s="27"/>
    </row>
    <row r="886" spans="3:8" x14ac:dyDescent="0.15">
      <c r="C886" s="26"/>
      <c r="D886" s="22"/>
      <c r="E886" s="20"/>
      <c r="F886" s="20"/>
      <c r="G886" s="20"/>
      <c r="H886" s="27"/>
    </row>
    <row r="887" spans="3:8" x14ac:dyDescent="0.15">
      <c r="C887" s="26"/>
      <c r="D887" s="22"/>
      <c r="E887" s="20"/>
      <c r="F887" s="20"/>
      <c r="G887" s="20"/>
      <c r="H887" s="27"/>
    </row>
    <row r="888" spans="3:8" x14ac:dyDescent="0.15">
      <c r="C888" s="26"/>
      <c r="D888" s="22"/>
      <c r="E888" s="20"/>
      <c r="F888" s="20"/>
      <c r="G888" s="20"/>
      <c r="H888" s="27"/>
    </row>
    <row r="889" spans="3:8" x14ac:dyDescent="0.15">
      <c r="C889" s="26"/>
      <c r="D889" s="22"/>
      <c r="E889" s="20"/>
      <c r="F889" s="20"/>
      <c r="G889" s="20"/>
      <c r="H889" s="27"/>
    </row>
    <row r="890" spans="3:8" x14ac:dyDescent="0.15">
      <c r="C890" s="26"/>
      <c r="D890" s="22"/>
      <c r="E890" s="20"/>
      <c r="F890" s="20"/>
      <c r="G890" s="20"/>
      <c r="H890" s="27"/>
    </row>
    <row r="891" spans="3:8" x14ac:dyDescent="0.15">
      <c r="C891" s="26"/>
      <c r="D891" s="22"/>
      <c r="E891" s="20"/>
      <c r="F891" s="20"/>
      <c r="G891" s="20"/>
      <c r="H891" s="27"/>
    </row>
    <row r="892" spans="3:8" x14ac:dyDescent="0.15">
      <c r="C892" s="26"/>
      <c r="D892" s="22"/>
      <c r="E892" s="20"/>
      <c r="F892" s="20"/>
      <c r="G892" s="20"/>
      <c r="H892" s="27"/>
    </row>
    <row r="893" spans="3:8" x14ac:dyDescent="0.15">
      <c r="C893" s="26"/>
      <c r="D893" s="22"/>
      <c r="E893" s="20"/>
      <c r="F893" s="20"/>
      <c r="G893" s="20"/>
      <c r="H893" s="27"/>
    </row>
    <row r="894" spans="3:8" x14ac:dyDescent="0.15">
      <c r="C894" s="26"/>
      <c r="D894" s="22"/>
      <c r="E894" s="20"/>
      <c r="F894" s="20"/>
      <c r="G894" s="20"/>
      <c r="H894" s="27"/>
    </row>
    <row r="895" spans="3:8" x14ac:dyDescent="0.15">
      <c r="C895" s="26"/>
      <c r="D895" s="22"/>
      <c r="E895" s="20"/>
      <c r="F895" s="20"/>
      <c r="G895" s="20"/>
      <c r="H895" s="27"/>
    </row>
    <row r="896" spans="3:8" x14ac:dyDescent="0.15">
      <c r="C896" s="26"/>
      <c r="D896" s="22"/>
      <c r="E896" s="20"/>
      <c r="F896" s="20"/>
      <c r="G896" s="20"/>
      <c r="H896" s="27"/>
    </row>
    <row r="897" spans="3:8" x14ac:dyDescent="0.15">
      <c r="C897" s="26"/>
      <c r="D897" s="22"/>
      <c r="E897" s="20"/>
      <c r="F897" s="20"/>
      <c r="G897" s="20"/>
      <c r="H897" s="27"/>
    </row>
    <row r="898" spans="3:8" x14ac:dyDescent="0.15">
      <c r="C898" s="26"/>
      <c r="D898" s="22"/>
      <c r="E898" s="20"/>
      <c r="F898" s="20"/>
      <c r="G898" s="20"/>
      <c r="H898" s="27"/>
    </row>
    <row r="899" spans="3:8" x14ac:dyDescent="0.15">
      <c r="C899" s="26"/>
      <c r="D899" s="22"/>
      <c r="E899" s="20"/>
      <c r="F899" s="20"/>
      <c r="G899" s="20"/>
      <c r="H899" s="27"/>
    </row>
    <row r="900" spans="3:8" x14ac:dyDescent="0.15">
      <c r="C900" s="26"/>
      <c r="D900" s="22"/>
      <c r="E900" s="20"/>
      <c r="F900" s="20"/>
      <c r="G900" s="20"/>
      <c r="H900" s="27"/>
    </row>
    <row r="901" spans="3:8" x14ac:dyDescent="0.15">
      <c r="C901" s="26"/>
      <c r="D901" s="22"/>
      <c r="E901" s="20"/>
      <c r="F901" s="20"/>
      <c r="G901" s="20"/>
      <c r="H901" s="27"/>
    </row>
    <row r="902" spans="3:8" x14ac:dyDescent="0.15">
      <c r="C902" s="26"/>
      <c r="D902" s="22"/>
      <c r="E902" s="20"/>
      <c r="F902" s="20"/>
      <c r="G902" s="20"/>
      <c r="H902" s="27"/>
    </row>
    <row r="903" spans="3:8" x14ac:dyDescent="0.15">
      <c r="C903" s="26"/>
      <c r="D903" s="22"/>
      <c r="E903" s="20"/>
      <c r="F903" s="20"/>
      <c r="G903" s="20"/>
      <c r="H903" s="27"/>
    </row>
    <row r="904" spans="3:8" x14ac:dyDescent="0.15">
      <c r="C904" s="26"/>
      <c r="D904" s="22"/>
      <c r="E904" s="20"/>
      <c r="F904" s="20"/>
      <c r="G904" s="20"/>
      <c r="H904" s="27"/>
    </row>
    <row r="905" spans="3:8" x14ac:dyDescent="0.15">
      <c r="C905" s="26"/>
      <c r="D905" s="22"/>
      <c r="E905" s="20"/>
      <c r="F905" s="20"/>
      <c r="G905" s="20"/>
      <c r="H905" s="27"/>
    </row>
    <row r="906" spans="3:8" x14ac:dyDescent="0.15">
      <c r="C906" s="26"/>
      <c r="D906" s="22"/>
      <c r="E906" s="20"/>
      <c r="F906" s="20"/>
      <c r="G906" s="20"/>
      <c r="H906" s="27"/>
    </row>
    <row r="907" spans="3:8" x14ac:dyDescent="0.15">
      <c r="C907" s="26"/>
      <c r="D907" s="22"/>
      <c r="E907" s="20"/>
      <c r="F907" s="20"/>
      <c r="G907" s="20"/>
      <c r="H907" s="27"/>
    </row>
    <row r="908" spans="3:8" x14ac:dyDescent="0.15">
      <c r="C908" s="26"/>
      <c r="D908" s="22"/>
      <c r="E908" s="20"/>
      <c r="F908" s="20"/>
      <c r="G908" s="20"/>
      <c r="H908" s="27"/>
    </row>
    <row r="909" spans="3:8" x14ac:dyDescent="0.15">
      <c r="C909" s="26"/>
      <c r="D909" s="22"/>
      <c r="E909" s="20"/>
      <c r="F909" s="20"/>
      <c r="G909" s="20"/>
      <c r="H909" s="27"/>
    </row>
    <row r="910" spans="3:8" x14ac:dyDescent="0.15">
      <c r="C910" s="26"/>
      <c r="D910" s="22"/>
      <c r="E910" s="20"/>
      <c r="F910" s="20"/>
      <c r="G910" s="20"/>
      <c r="H910" s="27"/>
    </row>
    <row r="911" spans="3:8" x14ac:dyDescent="0.15">
      <c r="C911" s="26"/>
      <c r="D911" s="22"/>
      <c r="E911" s="20"/>
      <c r="F911" s="20"/>
      <c r="G911" s="20"/>
      <c r="H911" s="27"/>
    </row>
    <row r="912" spans="3:8" x14ac:dyDescent="0.15">
      <c r="C912" s="26"/>
      <c r="D912" s="22"/>
      <c r="E912" s="20"/>
      <c r="F912" s="20"/>
      <c r="G912" s="20"/>
      <c r="H912" s="27"/>
    </row>
    <row r="913" spans="3:8" x14ac:dyDescent="0.15">
      <c r="C913" s="26"/>
      <c r="D913" s="22"/>
      <c r="E913" s="20"/>
      <c r="F913" s="20"/>
      <c r="G913" s="20"/>
      <c r="H913" s="27"/>
    </row>
    <row r="914" spans="3:8" x14ac:dyDescent="0.15">
      <c r="C914" s="26"/>
      <c r="D914" s="22"/>
      <c r="E914" s="20"/>
      <c r="F914" s="20"/>
      <c r="G914" s="20"/>
      <c r="H914" s="27"/>
    </row>
    <row r="915" spans="3:8" x14ac:dyDescent="0.15">
      <c r="C915" s="26"/>
      <c r="D915" s="22"/>
      <c r="E915" s="20"/>
      <c r="F915" s="20"/>
      <c r="G915" s="20"/>
      <c r="H915" s="27"/>
    </row>
    <row r="916" spans="3:8" x14ac:dyDescent="0.15">
      <c r="C916" s="26"/>
      <c r="D916" s="22"/>
      <c r="E916" s="20"/>
      <c r="F916" s="20"/>
      <c r="G916" s="20"/>
      <c r="H916" s="27"/>
    </row>
    <row r="917" spans="3:8" x14ac:dyDescent="0.15">
      <c r="C917" s="26"/>
      <c r="D917" s="22"/>
      <c r="E917" s="20"/>
      <c r="F917" s="20"/>
      <c r="G917" s="20"/>
      <c r="H917" s="27"/>
    </row>
    <row r="918" spans="3:8" x14ac:dyDescent="0.15">
      <c r="C918" s="26"/>
      <c r="D918" s="22"/>
      <c r="E918" s="20"/>
      <c r="F918" s="20"/>
      <c r="G918" s="20"/>
      <c r="H918" s="27"/>
    </row>
    <row r="919" spans="3:8" x14ac:dyDescent="0.15">
      <c r="C919" s="26"/>
      <c r="D919" s="22"/>
      <c r="E919" s="20"/>
      <c r="F919" s="20"/>
      <c r="G919" s="20"/>
      <c r="H919" s="27"/>
    </row>
    <row r="920" spans="3:8" x14ac:dyDescent="0.15">
      <c r="C920" s="26"/>
      <c r="D920" s="22"/>
      <c r="E920" s="20"/>
      <c r="F920" s="20"/>
      <c r="G920" s="20"/>
      <c r="H920" s="27"/>
    </row>
    <row r="921" spans="3:8" x14ac:dyDescent="0.15">
      <c r="C921" s="26"/>
      <c r="D921" s="22"/>
      <c r="E921" s="20"/>
      <c r="F921" s="20"/>
      <c r="G921" s="20"/>
      <c r="H921" s="27"/>
    </row>
    <row r="922" spans="3:8" x14ac:dyDescent="0.15">
      <c r="C922" s="26"/>
      <c r="D922" s="22"/>
      <c r="E922" s="20"/>
      <c r="F922" s="20"/>
      <c r="G922" s="20"/>
      <c r="H922" s="27"/>
    </row>
    <row r="923" spans="3:8" x14ac:dyDescent="0.15">
      <c r="C923" s="26"/>
      <c r="D923" s="22"/>
      <c r="E923" s="20"/>
      <c r="F923" s="20"/>
      <c r="G923" s="20"/>
      <c r="H923" s="27"/>
    </row>
    <row r="924" spans="3:8" x14ac:dyDescent="0.15">
      <c r="C924" s="26"/>
      <c r="D924" s="22"/>
      <c r="E924" s="20"/>
      <c r="F924" s="20"/>
      <c r="G924" s="20"/>
      <c r="H924" s="27"/>
    </row>
    <row r="925" spans="3:8" x14ac:dyDescent="0.15">
      <c r="C925" s="26"/>
      <c r="D925" s="22"/>
      <c r="E925" s="20"/>
      <c r="F925" s="20"/>
      <c r="G925" s="20"/>
      <c r="H925" s="27"/>
    </row>
    <row r="926" spans="3:8" x14ac:dyDescent="0.15">
      <c r="C926" s="26"/>
      <c r="D926" s="22"/>
      <c r="E926" s="20"/>
      <c r="F926" s="20"/>
      <c r="G926" s="20"/>
      <c r="H926" s="27"/>
    </row>
    <row r="927" spans="3:8" x14ac:dyDescent="0.15">
      <c r="C927" s="26"/>
      <c r="D927" s="22"/>
      <c r="E927" s="20"/>
      <c r="F927" s="20"/>
      <c r="G927" s="20"/>
      <c r="H927" s="27"/>
    </row>
    <row r="928" spans="3:8" x14ac:dyDescent="0.15">
      <c r="C928" s="26"/>
      <c r="D928" s="22"/>
      <c r="E928" s="20"/>
      <c r="F928" s="20"/>
      <c r="G928" s="20"/>
      <c r="H928" s="27"/>
    </row>
    <row r="929" spans="3:8" x14ac:dyDescent="0.15">
      <c r="C929" s="26"/>
      <c r="D929" s="22"/>
      <c r="E929" s="20"/>
      <c r="F929" s="20"/>
      <c r="G929" s="20"/>
      <c r="H929" s="27"/>
    </row>
    <row r="930" spans="3:8" x14ac:dyDescent="0.15">
      <c r="C930" s="26"/>
      <c r="D930" s="22"/>
      <c r="E930" s="20"/>
      <c r="F930" s="20"/>
      <c r="G930" s="20"/>
      <c r="H930" s="27"/>
    </row>
    <row r="931" spans="3:8" x14ac:dyDescent="0.15">
      <c r="C931" s="26"/>
      <c r="D931" s="22"/>
      <c r="E931" s="20"/>
      <c r="F931" s="20"/>
      <c r="G931" s="20"/>
      <c r="H931" s="27"/>
    </row>
    <row r="932" spans="3:8" x14ac:dyDescent="0.15">
      <c r="C932" s="26"/>
      <c r="D932" s="22"/>
      <c r="E932" s="20"/>
      <c r="F932" s="20"/>
      <c r="G932" s="20"/>
      <c r="H932" s="27"/>
    </row>
    <row r="933" spans="3:8" x14ac:dyDescent="0.15">
      <c r="C933" s="26"/>
      <c r="D933" s="22"/>
      <c r="E933" s="20"/>
      <c r="F933" s="20"/>
      <c r="G933" s="20"/>
      <c r="H933" s="27"/>
    </row>
    <row r="934" spans="3:8" x14ac:dyDescent="0.15">
      <c r="C934" s="26"/>
      <c r="D934" s="22"/>
      <c r="E934" s="20"/>
      <c r="F934" s="20"/>
      <c r="G934" s="20"/>
      <c r="H934" s="27"/>
    </row>
    <row r="935" spans="3:8" x14ac:dyDescent="0.15">
      <c r="C935" s="26"/>
      <c r="D935" s="22"/>
      <c r="E935" s="20"/>
      <c r="F935" s="20"/>
      <c r="G935" s="20"/>
      <c r="H935" s="27"/>
    </row>
    <row r="936" spans="3:8" x14ac:dyDescent="0.15">
      <c r="C936" s="26"/>
      <c r="D936" s="22"/>
      <c r="E936" s="20"/>
      <c r="F936" s="20"/>
      <c r="G936" s="20"/>
      <c r="H936" s="27"/>
    </row>
    <row r="937" spans="3:8" x14ac:dyDescent="0.15">
      <c r="C937" s="26"/>
      <c r="D937" s="22"/>
      <c r="E937" s="20"/>
      <c r="F937" s="20"/>
      <c r="G937" s="20"/>
      <c r="H937" s="27"/>
    </row>
    <row r="938" spans="3:8" x14ac:dyDescent="0.15">
      <c r="C938" s="26"/>
      <c r="D938" s="22"/>
      <c r="E938" s="20"/>
      <c r="F938" s="20"/>
      <c r="G938" s="20"/>
      <c r="H938" s="27"/>
    </row>
    <row r="939" spans="3:8" x14ac:dyDescent="0.15">
      <c r="C939" s="26"/>
      <c r="D939" s="22"/>
      <c r="E939" s="20"/>
      <c r="F939" s="20"/>
      <c r="G939" s="20"/>
      <c r="H939" s="27"/>
    </row>
    <row r="940" spans="3:8" x14ac:dyDescent="0.15">
      <c r="C940" s="26"/>
      <c r="D940" s="22"/>
      <c r="E940" s="20"/>
      <c r="F940" s="20"/>
      <c r="G940" s="20"/>
      <c r="H940" s="27"/>
    </row>
    <row r="941" spans="3:8" x14ac:dyDescent="0.15">
      <c r="C941" s="26"/>
      <c r="D941" s="22"/>
      <c r="E941" s="20"/>
      <c r="F941" s="20"/>
      <c r="G941" s="20"/>
      <c r="H941" s="27"/>
    </row>
    <row r="942" spans="3:8" x14ac:dyDescent="0.15">
      <c r="C942" s="26"/>
      <c r="D942" s="22"/>
      <c r="E942" s="20"/>
      <c r="F942" s="20"/>
      <c r="G942" s="20"/>
      <c r="H942" s="27"/>
    </row>
    <row r="943" spans="3:8" x14ac:dyDescent="0.15">
      <c r="C943" s="26"/>
      <c r="D943" s="22"/>
      <c r="E943" s="20"/>
      <c r="F943" s="20"/>
      <c r="G943" s="20"/>
      <c r="H943" s="27"/>
    </row>
    <row r="944" spans="3:8" x14ac:dyDescent="0.15">
      <c r="C944" s="26"/>
      <c r="D944" s="22"/>
      <c r="E944" s="20"/>
      <c r="F944" s="20"/>
      <c r="G944" s="20"/>
      <c r="H944" s="27"/>
    </row>
    <row r="945" spans="3:8" x14ac:dyDescent="0.15">
      <c r="C945" s="26"/>
      <c r="D945" s="22"/>
      <c r="E945" s="20"/>
      <c r="F945" s="20"/>
      <c r="G945" s="20"/>
      <c r="H945" s="27"/>
    </row>
    <row r="946" spans="3:8" x14ac:dyDescent="0.15">
      <c r="C946" s="26"/>
      <c r="D946" s="22"/>
      <c r="E946" s="20"/>
      <c r="F946" s="20"/>
      <c r="G946" s="20"/>
      <c r="H946" s="27"/>
    </row>
    <row r="947" spans="3:8" x14ac:dyDescent="0.15">
      <c r="C947" s="26"/>
      <c r="D947" s="22"/>
      <c r="E947" s="20"/>
      <c r="F947" s="20"/>
      <c r="G947" s="20"/>
      <c r="H947" s="27"/>
    </row>
    <row r="948" spans="3:8" x14ac:dyDescent="0.15">
      <c r="C948" s="26"/>
      <c r="D948" s="22"/>
      <c r="E948" s="20"/>
      <c r="F948" s="20"/>
      <c r="G948" s="20"/>
      <c r="H948" s="27"/>
    </row>
    <row r="949" spans="3:8" x14ac:dyDescent="0.15">
      <c r="C949" s="26"/>
      <c r="D949" s="22"/>
      <c r="E949" s="20"/>
      <c r="F949" s="20"/>
      <c r="G949" s="20"/>
      <c r="H949" s="27"/>
    </row>
    <row r="950" spans="3:8" x14ac:dyDescent="0.15">
      <c r="C950" s="26"/>
      <c r="D950" s="22"/>
      <c r="E950" s="20"/>
      <c r="F950" s="20"/>
      <c r="G950" s="20"/>
      <c r="H950" s="27"/>
    </row>
    <row r="951" spans="3:8" x14ac:dyDescent="0.15">
      <c r="C951" s="26"/>
      <c r="D951" s="22"/>
      <c r="E951" s="20"/>
      <c r="F951" s="20"/>
      <c r="G951" s="20"/>
      <c r="H951" s="27"/>
    </row>
    <row r="952" spans="3:8" x14ac:dyDescent="0.15">
      <c r="C952" s="26"/>
      <c r="D952" s="22"/>
      <c r="E952" s="20"/>
      <c r="F952" s="20"/>
      <c r="G952" s="20"/>
      <c r="H952" s="27"/>
    </row>
    <row r="953" spans="3:8" x14ac:dyDescent="0.15">
      <c r="C953" s="26"/>
      <c r="D953" s="22"/>
      <c r="E953" s="20"/>
      <c r="F953" s="20"/>
      <c r="G953" s="20"/>
      <c r="H953" s="27"/>
    </row>
    <row r="954" spans="3:8" x14ac:dyDescent="0.15">
      <c r="C954" s="26"/>
      <c r="D954" s="22"/>
      <c r="E954" s="20"/>
      <c r="F954" s="20"/>
      <c r="G954" s="20"/>
      <c r="H954" s="27"/>
    </row>
    <row r="955" spans="3:8" x14ac:dyDescent="0.15">
      <c r="C955" s="26"/>
      <c r="D955" s="22"/>
      <c r="E955" s="20"/>
      <c r="F955" s="20"/>
      <c r="G955" s="20"/>
      <c r="H955" s="27"/>
    </row>
    <row r="956" spans="3:8" x14ac:dyDescent="0.15">
      <c r="C956" s="26"/>
      <c r="D956" s="22"/>
      <c r="E956" s="20"/>
      <c r="F956" s="20"/>
      <c r="G956" s="20"/>
      <c r="H956" s="27"/>
    </row>
    <row r="957" spans="3:8" x14ac:dyDescent="0.15">
      <c r="C957" s="26"/>
      <c r="D957" s="22"/>
      <c r="E957" s="20"/>
      <c r="F957" s="20"/>
      <c r="G957" s="20"/>
      <c r="H957" s="27"/>
    </row>
    <row r="958" spans="3:8" x14ac:dyDescent="0.15">
      <c r="C958" s="26"/>
      <c r="D958" s="22"/>
      <c r="E958" s="20"/>
      <c r="F958" s="20"/>
      <c r="G958" s="20"/>
      <c r="H958" s="27"/>
    </row>
    <row r="959" spans="3:8" x14ac:dyDescent="0.15">
      <c r="C959" s="26"/>
      <c r="D959" s="22"/>
      <c r="E959" s="20"/>
      <c r="F959" s="20"/>
      <c r="G959" s="20"/>
      <c r="H959" s="27"/>
    </row>
    <row r="960" spans="3:8" x14ac:dyDescent="0.15">
      <c r="C960" s="26"/>
      <c r="D960" s="22"/>
      <c r="E960" s="20"/>
      <c r="F960" s="20"/>
      <c r="G960" s="20"/>
      <c r="H960" s="27"/>
    </row>
    <row r="961" spans="3:8" x14ac:dyDescent="0.15">
      <c r="C961" s="26"/>
      <c r="D961" s="22"/>
      <c r="E961" s="20"/>
      <c r="F961" s="20"/>
      <c r="G961" s="20"/>
      <c r="H961" s="27"/>
    </row>
    <row r="962" spans="3:8" x14ac:dyDescent="0.15">
      <c r="C962" s="26"/>
      <c r="D962" s="22"/>
      <c r="E962" s="20"/>
      <c r="F962" s="20"/>
      <c r="G962" s="20"/>
      <c r="H962" s="27"/>
    </row>
    <row r="963" spans="3:8" x14ac:dyDescent="0.15">
      <c r="C963" s="26"/>
      <c r="D963" s="22"/>
      <c r="E963" s="20"/>
      <c r="F963" s="20"/>
      <c r="G963" s="20"/>
      <c r="H963" s="27"/>
    </row>
    <row r="964" spans="3:8" x14ac:dyDescent="0.15">
      <c r="C964" s="26"/>
      <c r="D964" s="22"/>
      <c r="E964" s="20"/>
      <c r="F964" s="20"/>
      <c r="G964" s="20"/>
      <c r="H964" s="27"/>
    </row>
    <row r="965" spans="3:8" x14ac:dyDescent="0.15">
      <c r="C965" s="26"/>
      <c r="D965" s="22"/>
      <c r="E965" s="20"/>
      <c r="F965" s="20"/>
      <c r="G965" s="20"/>
      <c r="H965" s="27"/>
    </row>
    <row r="966" spans="3:8" x14ac:dyDescent="0.15">
      <c r="C966" s="26"/>
      <c r="D966" s="22"/>
      <c r="E966" s="20"/>
      <c r="F966" s="20"/>
      <c r="G966" s="20"/>
      <c r="H966" s="27"/>
    </row>
    <row r="967" spans="3:8" x14ac:dyDescent="0.15">
      <c r="C967" s="26"/>
      <c r="D967" s="22"/>
      <c r="E967" s="20"/>
      <c r="F967" s="20"/>
      <c r="G967" s="20"/>
      <c r="H967" s="27"/>
    </row>
    <row r="968" spans="3:8" x14ac:dyDescent="0.15">
      <c r="C968" s="26"/>
      <c r="D968" s="22"/>
      <c r="E968" s="20"/>
      <c r="F968" s="20"/>
      <c r="G968" s="20"/>
      <c r="H968" s="27"/>
    </row>
    <row r="969" spans="3:8" x14ac:dyDescent="0.15">
      <c r="C969" s="26"/>
      <c r="D969" s="22"/>
      <c r="E969" s="20"/>
      <c r="F969" s="20"/>
      <c r="G969" s="20"/>
      <c r="H969" s="27"/>
    </row>
    <row r="970" spans="3:8" x14ac:dyDescent="0.15">
      <c r="C970" s="26"/>
      <c r="D970" s="22"/>
      <c r="E970" s="20"/>
      <c r="F970" s="20"/>
      <c r="G970" s="20"/>
      <c r="H970" s="27"/>
    </row>
    <row r="971" spans="3:8" x14ac:dyDescent="0.15">
      <c r="C971" s="26"/>
      <c r="D971" s="22"/>
      <c r="E971" s="20"/>
      <c r="F971" s="20"/>
      <c r="G971" s="20"/>
      <c r="H971" s="27"/>
    </row>
    <row r="972" spans="3:8" x14ac:dyDescent="0.15">
      <c r="C972" s="26"/>
      <c r="D972" s="22"/>
      <c r="E972" s="20"/>
      <c r="F972" s="20"/>
      <c r="G972" s="20"/>
      <c r="H972" s="27"/>
    </row>
    <row r="973" spans="3:8" x14ac:dyDescent="0.15">
      <c r="C973" s="26"/>
      <c r="D973" s="22"/>
      <c r="E973" s="20"/>
      <c r="F973" s="20"/>
      <c r="G973" s="20"/>
      <c r="H973" s="27"/>
    </row>
    <row r="974" spans="3:8" x14ac:dyDescent="0.15">
      <c r="C974" s="26"/>
      <c r="D974" s="22"/>
      <c r="E974" s="20"/>
      <c r="F974" s="20"/>
      <c r="G974" s="20"/>
      <c r="H974" s="27"/>
    </row>
    <row r="975" spans="3:8" x14ac:dyDescent="0.15">
      <c r="C975" s="26"/>
      <c r="D975" s="22"/>
      <c r="E975" s="20"/>
      <c r="F975" s="20"/>
      <c r="G975" s="20"/>
      <c r="H975" s="27"/>
    </row>
    <row r="976" spans="3:8" x14ac:dyDescent="0.15">
      <c r="C976" s="26"/>
      <c r="D976" s="22"/>
      <c r="E976" s="20"/>
      <c r="F976" s="20"/>
      <c r="G976" s="20"/>
      <c r="H976" s="27"/>
    </row>
    <row r="977" spans="3:8" x14ac:dyDescent="0.15">
      <c r="C977" s="26"/>
      <c r="D977" s="22"/>
      <c r="E977" s="20"/>
      <c r="F977" s="20"/>
      <c r="G977" s="20"/>
      <c r="H977" s="27"/>
    </row>
    <row r="978" spans="3:8" x14ac:dyDescent="0.15">
      <c r="C978" s="26"/>
      <c r="D978" s="22"/>
      <c r="E978" s="20"/>
      <c r="F978" s="20"/>
      <c r="G978" s="20"/>
      <c r="H978" s="27"/>
    </row>
    <row r="979" spans="3:8" x14ac:dyDescent="0.15">
      <c r="C979" s="26"/>
      <c r="D979" s="22"/>
      <c r="E979" s="20"/>
      <c r="F979" s="20"/>
      <c r="G979" s="20"/>
      <c r="H979" s="27"/>
    </row>
    <row r="980" spans="3:8" x14ac:dyDescent="0.15">
      <c r="C980" s="26"/>
      <c r="D980" s="22"/>
      <c r="E980" s="20"/>
      <c r="F980" s="20"/>
      <c r="G980" s="20"/>
      <c r="H980" s="27"/>
    </row>
    <row r="981" spans="3:8" x14ac:dyDescent="0.15">
      <c r="C981" s="26"/>
      <c r="D981" s="22"/>
      <c r="E981" s="20"/>
      <c r="F981" s="20"/>
      <c r="G981" s="20"/>
      <c r="H981" s="27"/>
    </row>
    <row r="982" spans="3:8" x14ac:dyDescent="0.15">
      <c r="C982" s="26"/>
      <c r="D982" s="22"/>
      <c r="E982" s="20"/>
      <c r="F982" s="20"/>
      <c r="G982" s="20"/>
      <c r="H982" s="27"/>
    </row>
    <row r="983" spans="3:8" x14ac:dyDescent="0.15">
      <c r="C983" s="26"/>
      <c r="D983" s="22"/>
      <c r="E983" s="20"/>
      <c r="F983" s="20"/>
      <c r="G983" s="20"/>
      <c r="H983" s="27"/>
    </row>
    <row r="984" spans="3:8" x14ac:dyDescent="0.15">
      <c r="C984" s="26"/>
      <c r="D984" s="22"/>
      <c r="E984" s="20"/>
      <c r="F984" s="20"/>
      <c r="G984" s="20"/>
      <c r="H984" s="27"/>
    </row>
    <row r="985" spans="3:8" x14ac:dyDescent="0.15">
      <c r="C985" s="26"/>
      <c r="D985" s="22"/>
      <c r="E985" s="20"/>
      <c r="F985" s="20"/>
      <c r="G985" s="20"/>
      <c r="H985" s="27"/>
    </row>
    <row r="986" spans="3:8" x14ac:dyDescent="0.15">
      <c r="C986" s="26"/>
      <c r="D986" s="22"/>
      <c r="E986" s="20"/>
      <c r="F986" s="20"/>
      <c r="G986" s="20"/>
      <c r="H986" s="27"/>
    </row>
    <row r="987" spans="3:8" x14ac:dyDescent="0.15">
      <c r="C987" s="26"/>
      <c r="D987" s="22"/>
      <c r="E987" s="20"/>
      <c r="F987" s="20"/>
      <c r="G987" s="20"/>
      <c r="H987" s="27"/>
    </row>
    <row r="988" spans="3:8" x14ac:dyDescent="0.15">
      <c r="C988" s="26"/>
      <c r="D988" s="22"/>
      <c r="E988" s="20"/>
      <c r="F988" s="20"/>
      <c r="G988" s="20"/>
      <c r="H988" s="27"/>
    </row>
    <row r="989" spans="3:8" x14ac:dyDescent="0.15">
      <c r="C989" s="26"/>
      <c r="D989" s="22"/>
      <c r="E989" s="20"/>
      <c r="F989" s="20"/>
      <c r="G989" s="20"/>
      <c r="H989" s="27"/>
    </row>
    <row r="990" spans="3:8" x14ac:dyDescent="0.15">
      <c r="C990" s="26"/>
      <c r="D990" s="22"/>
      <c r="E990" s="20"/>
      <c r="F990" s="20"/>
      <c r="G990" s="20"/>
      <c r="H990" s="27"/>
    </row>
    <row r="991" spans="3:8" x14ac:dyDescent="0.15">
      <c r="C991" s="26"/>
      <c r="D991" s="22"/>
      <c r="E991" s="20"/>
      <c r="F991" s="20"/>
      <c r="G991" s="20"/>
      <c r="H991" s="27"/>
    </row>
    <row r="992" spans="3:8" x14ac:dyDescent="0.15">
      <c r="C992" s="26"/>
      <c r="D992" s="22"/>
      <c r="E992" s="20"/>
      <c r="F992" s="20"/>
      <c r="G992" s="20"/>
      <c r="H992" s="27"/>
    </row>
    <row r="993" spans="3:8" x14ac:dyDescent="0.15">
      <c r="C993" s="26"/>
      <c r="D993" s="22"/>
      <c r="E993" s="20"/>
      <c r="F993" s="20"/>
      <c r="G993" s="20"/>
      <c r="H993" s="27"/>
    </row>
    <row r="994" spans="3:8" x14ac:dyDescent="0.15">
      <c r="C994" s="26"/>
      <c r="D994" s="22"/>
      <c r="E994" s="20"/>
      <c r="F994" s="20"/>
      <c r="G994" s="20"/>
      <c r="H994" s="27"/>
    </row>
    <row r="995" spans="3:8" x14ac:dyDescent="0.15">
      <c r="C995" s="26"/>
      <c r="D995" s="22"/>
      <c r="E995" s="20"/>
      <c r="F995" s="20"/>
      <c r="G995" s="20"/>
      <c r="H995" s="27"/>
    </row>
    <row r="996" spans="3:8" x14ac:dyDescent="0.15">
      <c r="C996" s="26"/>
      <c r="D996" s="22"/>
      <c r="E996" s="20"/>
      <c r="F996" s="20"/>
      <c r="G996" s="20"/>
      <c r="H996" s="27"/>
    </row>
    <row r="997" spans="3:8" x14ac:dyDescent="0.15">
      <c r="C997" s="26"/>
      <c r="D997" s="22"/>
      <c r="E997" s="20"/>
      <c r="F997" s="20"/>
      <c r="G997" s="20"/>
      <c r="H997" s="27"/>
    </row>
    <row r="998" spans="3:8" x14ac:dyDescent="0.15">
      <c r="C998" s="26"/>
      <c r="D998" s="22"/>
      <c r="E998" s="20"/>
      <c r="F998" s="20"/>
      <c r="G998" s="20"/>
      <c r="H998" s="27"/>
    </row>
    <row r="999" spans="3:8" x14ac:dyDescent="0.15">
      <c r="C999" s="26"/>
      <c r="D999" s="22"/>
      <c r="E999" s="20"/>
      <c r="F999" s="20"/>
      <c r="G999" s="20"/>
      <c r="H999" s="27"/>
    </row>
    <row r="1000" spans="3:8" x14ac:dyDescent="0.15">
      <c r="C1000" s="26"/>
      <c r="D1000" s="22"/>
      <c r="E1000" s="20"/>
      <c r="F1000" s="20"/>
      <c r="G1000" s="20"/>
      <c r="H1000" s="27"/>
    </row>
    <row r="1001" spans="3:8" x14ac:dyDescent="0.15">
      <c r="C1001" s="26"/>
      <c r="D1001" s="22"/>
      <c r="E1001" s="20"/>
      <c r="F1001" s="20"/>
      <c r="G1001" s="20"/>
      <c r="H1001" s="27"/>
    </row>
    <row r="1002" spans="3:8" x14ac:dyDescent="0.15">
      <c r="C1002" s="26"/>
      <c r="D1002" s="22"/>
      <c r="E1002" s="20"/>
      <c r="F1002" s="20"/>
      <c r="G1002" s="20"/>
      <c r="H1002" s="27"/>
    </row>
    <row r="1003" spans="3:8" x14ac:dyDescent="0.15">
      <c r="C1003" s="26"/>
      <c r="D1003" s="22"/>
      <c r="E1003" s="20"/>
      <c r="F1003" s="20"/>
      <c r="G1003" s="20"/>
      <c r="H1003" s="27"/>
    </row>
    <row r="1004" spans="3:8" x14ac:dyDescent="0.15">
      <c r="C1004" s="26"/>
      <c r="D1004" s="22"/>
      <c r="E1004" s="20"/>
      <c r="F1004" s="20"/>
      <c r="G1004" s="20"/>
      <c r="H1004" s="27"/>
    </row>
    <row r="1005" spans="3:8" x14ac:dyDescent="0.15">
      <c r="C1005" s="26"/>
      <c r="D1005" s="22"/>
      <c r="E1005" s="20"/>
      <c r="F1005" s="20"/>
      <c r="G1005" s="20"/>
      <c r="H1005" s="27"/>
    </row>
    <row r="1006" spans="3:8" x14ac:dyDescent="0.15">
      <c r="C1006" s="26"/>
      <c r="D1006" s="22"/>
      <c r="E1006" s="20"/>
      <c r="F1006" s="20"/>
      <c r="G1006" s="20"/>
      <c r="H1006" s="27"/>
    </row>
    <row r="1007" spans="3:8" x14ac:dyDescent="0.15">
      <c r="C1007" s="26"/>
      <c r="D1007" s="22"/>
      <c r="E1007" s="20"/>
      <c r="F1007" s="20"/>
      <c r="G1007" s="20"/>
      <c r="H1007" s="27"/>
    </row>
    <row r="1008" spans="3:8" x14ac:dyDescent="0.15">
      <c r="C1008" s="26"/>
      <c r="D1008" s="22"/>
      <c r="E1008" s="20"/>
      <c r="F1008" s="20"/>
      <c r="G1008" s="20"/>
      <c r="H1008" s="27"/>
    </row>
    <row r="1009" spans="3:8" x14ac:dyDescent="0.15">
      <c r="C1009" s="26"/>
      <c r="D1009" s="22"/>
      <c r="E1009" s="20"/>
      <c r="F1009" s="20"/>
      <c r="G1009" s="20"/>
      <c r="H1009" s="27"/>
    </row>
    <row r="1010" spans="3:8" x14ac:dyDescent="0.15">
      <c r="C1010" s="26"/>
      <c r="D1010" s="22"/>
      <c r="E1010" s="20"/>
      <c r="F1010" s="20"/>
      <c r="G1010" s="20"/>
      <c r="H1010" s="27"/>
    </row>
    <row r="1011" spans="3:8" x14ac:dyDescent="0.15">
      <c r="C1011" s="26"/>
      <c r="D1011" s="22"/>
      <c r="E1011" s="20"/>
      <c r="F1011" s="20"/>
      <c r="G1011" s="20"/>
      <c r="H1011" s="27"/>
    </row>
    <row r="1012" spans="3:8" x14ac:dyDescent="0.15">
      <c r="C1012" s="26"/>
      <c r="D1012" s="22"/>
      <c r="E1012" s="20"/>
      <c r="F1012" s="20"/>
      <c r="G1012" s="20"/>
      <c r="H1012" s="27"/>
    </row>
    <row r="1013" spans="3:8" x14ac:dyDescent="0.15">
      <c r="C1013" s="26"/>
      <c r="D1013" s="22"/>
      <c r="E1013" s="20"/>
      <c r="F1013" s="20"/>
      <c r="G1013" s="20"/>
      <c r="H1013" s="27"/>
    </row>
    <row r="1014" spans="3:8" x14ac:dyDescent="0.15">
      <c r="C1014" s="26"/>
      <c r="D1014" s="22"/>
      <c r="E1014" s="20"/>
      <c r="F1014" s="20"/>
      <c r="G1014" s="20"/>
      <c r="H1014" s="27"/>
    </row>
    <row r="1015" spans="3:8" x14ac:dyDescent="0.15">
      <c r="C1015" s="26"/>
      <c r="D1015" s="22"/>
      <c r="E1015" s="20"/>
      <c r="F1015" s="20"/>
      <c r="G1015" s="20"/>
      <c r="H1015" s="27"/>
    </row>
    <row r="1016" spans="3:8" x14ac:dyDescent="0.15">
      <c r="C1016" s="26"/>
      <c r="D1016" s="22"/>
      <c r="E1016" s="20"/>
      <c r="F1016" s="20"/>
      <c r="G1016" s="20"/>
      <c r="H1016" s="27"/>
    </row>
    <row r="1017" spans="3:8" x14ac:dyDescent="0.15">
      <c r="C1017" s="26"/>
      <c r="D1017" s="22"/>
      <c r="E1017" s="20"/>
      <c r="F1017" s="20"/>
      <c r="G1017" s="20"/>
      <c r="H1017" s="27"/>
    </row>
    <row r="1018" spans="3:8" x14ac:dyDescent="0.15">
      <c r="C1018" s="26"/>
      <c r="D1018" s="22"/>
      <c r="E1018" s="20"/>
      <c r="F1018" s="20"/>
      <c r="G1018" s="20"/>
      <c r="H1018" s="27"/>
    </row>
    <row r="1019" spans="3:8" x14ac:dyDescent="0.15">
      <c r="C1019" s="26"/>
      <c r="D1019" s="22"/>
      <c r="E1019" s="20"/>
      <c r="F1019" s="20"/>
      <c r="G1019" s="20"/>
      <c r="H1019" s="27"/>
    </row>
    <row r="1020" spans="3:8" x14ac:dyDescent="0.15">
      <c r="C1020" s="26"/>
      <c r="D1020" s="22"/>
      <c r="E1020" s="20"/>
      <c r="F1020" s="20"/>
      <c r="G1020" s="20"/>
      <c r="H1020" s="27"/>
    </row>
    <row r="1021" spans="3:8" x14ac:dyDescent="0.15">
      <c r="C1021" s="26"/>
      <c r="D1021" s="22"/>
      <c r="E1021" s="20"/>
      <c r="F1021" s="20"/>
      <c r="G1021" s="20"/>
      <c r="H1021" s="27"/>
    </row>
    <row r="1022" spans="3:8" x14ac:dyDescent="0.15">
      <c r="C1022" s="26"/>
      <c r="D1022" s="22"/>
      <c r="E1022" s="20"/>
      <c r="F1022" s="20"/>
      <c r="G1022" s="20"/>
      <c r="H1022" s="27"/>
    </row>
    <row r="1023" spans="3:8" x14ac:dyDescent="0.15">
      <c r="C1023" s="26"/>
      <c r="D1023" s="22"/>
      <c r="E1023" s="20"/>
      <c r="F1023" s="20"/>
      <c r="G1023" s="20"/>
      <c r="H1023" s="27"/>
    </row>
    <row r="1024" spans="3:8" x14ac:dyDescent="0.15">
      <c r="C1024" s="26"/>
      <c r="D1024" s="22"/>
      <c r="E1024" s="20"/>
      <c r="F1024" s="20"/>
      <c r="G1024" s="20"/>
      <c r="H1024" s="27"/>
    </row>
    <row r="1025" spans="3:8" x14ac:dyDescent="0.15">
      <c r="C1025" s="26"/>
      <c r="D1025" s="22"/>
      <c r="E1025" s="20"/>
      <c r="F1025" s="20"/>
      <c r="G1025" s="20"/>
      <c r="H1025" s="27"/>
    </row>
    <row r="1026" spans="3:8" x14ac:dyDescent="0.15">
      <c r="C1026" s="26"/>
      <c r="D1026" s="22"/>
      <c r="E1026" s="20"/>
      <c r="F1026" s="20"/>
      <c r="G1026" s="20"/>
      <c r="H1026" s="27"/>
    </row>
    <row r="1027" spans="3:8" x14ac:dyDescent="0.15">
      <c r="C1027" s="26"/>
      <c r="D1027" s="22"/>
      <c r="E1027" s="20"/>
      <c r="F1027" s="20"/>
      <c r="G1027" s="20"/>
      <c r="H1027" s="27"/>
    </row>
    <row r="1028" spans="3:8" x14ac:dyDescent="0.15">
      <c r="C1028" s="26"/>
      <c r="D1028" s="22"/>
      <c r="E1028" s="20"/>
      <c r="F1028" s="20"/>
      <c r="G1028" s="20"/>
      <c r="H1028" s="27"/>
    </row>
    <row r="1029" spans="3:8" x14ac:dyDescent="0.15">
      <c r="C1029" s="26"/>
      <c r="D1029" s="22"/>
      <c r="E1029" s="20"/>
      <c r="F1029" s="20"/>
      <c r="G1029" s="20"/>
      <c r="H1029" s="27"/>
    </row>
    <row r="1030" spans="3:8" x14ac:dyDescent="0.15">
      <c r="C1030" s="26"/>
      <c r="D1030" s="22"/>
      <c r="E1030" s="20"/>
      <c r="F1030" s="20"/>
      <c r="G1030" s="20"/>
      <c r="H1030" s="27"/>
    </row>
    <row r="1031" spans="3:8" x14ac:dyDescent="0.15">
      <c r="C1031" s="26"/>
      <c r="D1031" s="22"/>
      <c r="E1031" s="20"/>
      <c r="F1031" s="20"/>
      <c r="G1031" s="20"/>
      <c r="H1031" s="27"/>
    </row>
    <row r="1032" spans="3:8" x14ac:dyDescent="0.15">
      <c r="C1032" s="26"/>
      <c r="D1032" s="22"/>
      <c r="E1032" s="20"/>
      <c r="F1032" s="20"/>
      <c r="G1032" s="20"/>
      <c r="H1032" s="27"/>
    </row>
    <row r="1033" spans="3:8" x14ac:dyDescent="0.15">
      <c r="C1033" s="26"/>
      <c r="D1033" s="22"/>
      <c r="E1033" s="20"/>
      <c r="F1033" s="20"/>
      <c r="G1033" s="20"/>
      <c r="H1033" s="27"/>
    </row>
    <row r="1034" spans="3:8" x14ac:dyDescent="0.15">
      <c r="C1034" s="26"/>
      <c r="D1034" s="22"/>
      <c r="E1034" s="20"/>
      <c r="F1034" s="20"/>
      <c r="G1034" s="20"/>
      <c r="H1034" s="27"/>
    </row>
    <row r="1035" spans="3:8" x14ac:dyDescent="0.15">
      <c r="C1035" s="26"/>
      <c r="D1035" s="22"/>
      <c r="E1035" s="20"/>
      <c r="F1035" s="20"/>
      <c r="G1035" s="20"/>
      <c r="H1035" s="27"/>
    </row>
    <row r="1036" spans="3:8" x14ac:dyDescent="0.15">
      <c r="C1036" s="26"/>
      <c r="D1036" s="22"/>
      <c r="E1036" s="20"/>
      <c r="F1036" s="20"/>
      <c r="G1036" s="20"/>
      <c r="H1036" s="27"/>
    </row>
    <row r="1037" spans="3:8" x14ac:dyDescent="0.15">
      <c r="C1037" s="26"/>
      <c r="D1037" s="22"/>
      <c r="E1037" s="20"/>
      <c r="F1037" s="20"/>
      <c r="G1037" s="20"/>
      <c r="H1037" s="27"/>
    </row>
    <row r="1038" spans="3:8" x14ac:dyDescent="0.15">
      <c r="C1038" s="26"/>
      <c r="D1038" s="22"/>
      <c r="E1038" s="20"/>
      <c r="F1038" s="20"/>
      <c r="G1038" s="20"/>
      <c r="H1038" s="27"/>
    </row>
    <row r="1039" spans="3:8" x14ac:dyDescent="0.15">
      <c r="C1039" s="26"/>
      <c r="D1039" s="22"/>
      <c r="E1039" s="20"/>
      <c r="F1039" s="20"/>
      <c r="G1039" s="20"/>
      <c r="H1039" s="27"/>
    </row>
    <row r="1040" spans="3:8" x14ac:dyDescent="0.15">
      <c r="C1040" s="26"/>
      <c r="D1040" s="22"/>
      <c r="E1040" s="20"/>
      <c r="F1040" s="20"/>
      <c r="G1040" s="20"/>
      <c r="H1040" s="27"/>
    </row>
    <row r="1041" spans="3:8" x14ac:dyDescent="0.15">
      <c r="C1041" s="26"/>
      <c r="D1041" s="22"/>
      <c r="E1041" s="20"/>
      <c r="F1041" s="20"/>
      <c r="G1041" s="20"/>
      <c r="H1041" s="27"/>
    </row>
    <row r="1042" spans="3:8" x14ac:dyDescent="0.15">
      <c r="C1042" s="26"/>
      <c r="D1042" s="22"/>
      <c r="E1042" s="20"/>
      <c r="F1042" s="20"/>
      <c r="G1042" s="20"/>
      <c r="H1042" s="27"/>
    </row>
    <row r="1043" spans="3:8" x14ac:dyDescent="0.15">
      <c r="C1043" s="26"/>
      <c r="D1043" s="22"/>
      <c r="E1043" s="20"/>
      <c r="F1043" s="20"/>
      <c r="G1043" s="20"/>
      <c r="H1043" s="27"/>
    </row>
    <row r="1044" spans="3:8" x14ac:dyDescent="0.15">
      <c r="C1044" s="26"/>
      <c r="D1044" s="22"/>
      <c r="E1044" s="20"/>
      <c r="F1044" s="20"/>
      <c r="G1044" s="20"/>
      <c r="H1044" s="27"/>
    </row>
    <row r="1045" spans="3:8" x14ac:dyDescent="0.15">
      <c r="C1045" s="26"/>
      <c r="D1045" s="22"/>
      <c r="E1045" s="20"/>
      <c r="F1045" s="20"/>
      <c r="G1045" s="20"/>
      <c r="H1045" s="27"/>
    </row>
    <row r="1046" spans="3:8" x14ac:dyDescent="0.15">
      <c r="C1046" s="26"/>
      <c r="D1046" s="22"/>
      <c r="E1046" s="20"/>
      <c r="F1046" s="20"/>
      <c r="G1046" s="20"/>
      <c r="H1046" s="27"/>
    </row>
    <row r="1047" spans="3:8" x14ac:dyDescent="0.15">
      <c r="C1047" s="26"/>
      <c r="D1047" s="22"/>
      <c r="E1047" s="20"/>
      <c r="F1047" s="20"/>
      <c r="G1047" s="20"/>
      <c r="H1047" s="27"/>
    </row>
    <row r="1048" spans="3:8" x14ac:dyDescent="0.15">
      <c r="C1048" s="26"/>
      <c r="D1048" s="22"/>
      <c r="E1048" s="20"/>
      <c r="F1048" s="20"/>
      <c r="G1048" s="20"/>
      <c r="H1048" s="27"/>
    </row>
    <row r="1049" spans="3:8" x14ac:dyDescent="0.15">
      <c r="C1049" s="26"/>
      <c r="D1049" s="22"/>
      <c r="E1049" s="20"/>
      <c r="F1049" s="20"/>
      <c r="G1049" s="20"/>
      <c r="H1049" s="27"/>
    </row>
    <row r="1050" spans="3:8" x14ac:dyDescent="0.15">
      <c r="C1050" s="26"/>
      <c r="D1050" s="22"/>
      <c r="E1050" s="20"/>
      <c r="F1050" s="20"/>
      <c r="G1050" s="20"/>
      <c r="H1050" s="27"/>
    </row>
    <row r="1051" spans="3:8" x14ac:dyDescent="0.15">
      <c r="C1051" s="26"/>
      <c r="D1051" s="22"/>
      <c r="E1051" s="20"/>
      <c r="F1051" s="20"/>
      <c r="G1051" s="20"/>
      <c r="H1051" s="27"/>
    </row>
    <row r="1052" spans="3:8" x14ac:dyDescent="0.15">
      <c r="C1052" s="26"/>
      <c r="D1052" s="22"/>
      <c r="E1052" s="20"/>
      <c r="F1052" s="20"/>
      <c r="G1052" s="20"/>
      <c r="H1052" s="27"/>
    </row>
    <row r="1053" spans="3:8" x14ac:dyDescent="0.15">
      <c r="C1053" s="26"/>
      <c r="D1053" s="22"/>
      <c r="E1053" s="20"/>
      <c r="F1053" s="20"/>
      <c r="G1053" s="20"/>
      <c r="H1053" s="27"/>
    </row>
    <row r="1054" spans="3:8" x14ac:dyDescent="0.15">
      <c r="C1054" s="26"/>
      <c r="D1054" s="22"/>
      <c r="E1054" s="20"/>
      <c r="F1054" s="20"/>
      <c r="G1054" s="20"/>
      <c r="H1054" s="27"/>
    </row>
    <row r="1055" spans="3:8" x14ac:dyDescent="0.15">
      <c r="C1055" s="26"/>
      <c r="D1055" s="22"/>
      <c r="E1055" s="20"/>
      <c r="F1055" s="20"/>
      <c r="G1055" s="20"/>
      <c r="H1055" s="27"/>
    </row>
    <row r="1056" spans="3:8" x14ac:dyDescent="0.15">
      <c r="C1056" s="26"/>
      <c r="D1056" s="22"/>
      <c r="E1056" s="20"/>
      <c r="F1056" s="20"/>
      <c r="G1056" s="20"/>
      <c r="H1056" s="27"/>
    </row>
    <row r="1057" spans="3:8" x14ac:dyDescent="0.15">
      <c r="C1057" s="26"/>
      <c r="D1057" s="22"/>
      <c r="E1057" s="20"/>
      <c r="F1057" s="20"/>
      <c r="G1057" s="20"/>
      <c r="H1057" s="27"/>
    </row>
    <row r="1058" spans="3:8" x14ac:dyDescent="0.15">
      <c r="C1058" s="26"/>
      <c r="D1058" s="22"/>
      <c r="E1058" s="20"/>
      <c r="F1058" s="20"/>
      <c r="G1058" s="20"/>
      <c r="H1058" s="27"/>
    </row>
    <row r="1059" spans="3:8" x14ac:dyDescent="0.15">
      <c r="C1059" s="26"/>
      <c r="D1059" s="22"/>
      <c r="E1059" s="20"/>
      <c r="F1059" s="20"/>
      <c r="G1059" s="20"/>
      <c r="H1059" s="27"/>
    </row>
    <row r="1060" spans="3:8" x14ac:dyDescent="0.15">
      <c r="C1060" s="26"/>
      <c r="D1060" s="22"/>
      <c r="E1060" s="20"/>
      <c r="F1060" s="20"/>
      <c r="G1060" s="20"/>
      <c r="H1060" s="27"/>
    </row>
    <row r="1061" spans="3:8" x14ac:dyDescent="0.15">
      <c r="C1061" s="26"/>
      <c r="D1061" s="22"/>
      <c r="E1061" s="20"/>
      <c r="F1061" s="20"/>
      <c r="G1061" s="20"/>
      <c r="H1061" s="27"/>
    </row>
    <row r="1062" spans="3:8" x14ac:dyDescent="0.15">
      <c r="C1062" s="26"/>
      <c r="D1062" s="22"/>
      <c r="E1062" s="20"/>
      <c r="F1062" s="20"/>
      <c r="G1062" s="20"/>
      <c r="H1062" s="27"/>
    </row>
    <row r="1063" spans="3:8" x14ac:dyDescent="0.15">
      <c r="C1063" s="26"/>
      <c r="D1063" s="22"/>
      <c r="E1063" s="20"/>
      <c r="F1063" s="20"/>
      <c r="G1063" s="20"/>
      <c r="H1063" s="27"/>
    </row>
    <row r="1064" spans="3:8" x14ac:dyDescent="0.15">
      <c r="C1064" s="26"/>
      <c r="D1064" s="22"/>
      <c r="E1064" s="20"/>
      <c r="F1064" s="20"/>
      <c r="G1064" s="20"/>
      <c r="H1064" s="27"/>
    </row>
    <row r="1065" spans="3:8" x14ac:dyDescent="0.15">
      <c r="C1065" s="26"/>
      <c r="D1065" s="22"/>
      <c r="E1065" s="20"/>
      <c r="F1065" s="20"/>
      <c r="G1065" s="20"/>
      <c r="H1065" s="27"/>
    </row>
    <row r="1066" spans="3:8" x14ac:dyDescent="0.15">
      <c r="C1066" s="26"/>
      <c r="D1066" s="22"/>
      <c r="E1066" s="20"/>
      <c r="F1066" s="20"/>
      <c r="G1066" s="20"/>
      <c r="H1066" s="27"/>
    </row>
    <row r="1067" spans="3:8" x14ac:dyDescent="0.15">
      <c r="C1067" s="26"/>
      <c r="D1067" s="22"/>
      <c r="E1067" s="20"/>
      <c r="F1067" s="20"/>
      <c r="G1067" s="20"/>
      <c r="H1067" s="27"/>
    </row>
    <row r="1068" spans="3:8" x14ac:dyDescent="0.15">
      <c r="C1068" s="26"/>
      <c r="D1068" s="22"/>
      <c r="E1068" s="20"/>
      <c r="F1068" s="20"/>
      <c r="G1068" s="20"/>
      <c r="H1068" s="27"/>
    </row>
    <row r="1069" spans="3:8" x14ac:dyDescent="0.15">
      <c r="C1069" s="26"/>
      <c r="D1069" s="22"/>
      <c r="E1069" s="20"/>
      <c r="F1069" s="20"/>
      <c r="G1069" s="20"/>
      <c r="H1069" s="27"/>
    </row>
    <row r="1070" spans="3:8" x14ac:dyDescent="0.15">
      <c r="C1070" s="26"/>
      <c r="D1070" s="22"/>
      <c r="E1070" s="20"/>
      <c r="F1070" s="20"/>
      <c r="G1070" s="20"/>
      <c r="H1070" s="27"/>
    </row>
    <row r="1071" spans="3:8" x14ac:dyDescent="0.15">
      <c r="C1071" s="26"/>
      <c r="D1071" s="22"/>
      <c r="E1071" s="20"/>
      <c r="F1071" s="20"/>
      <c r="G1071" s="20"/>
      <c r="H1071" s="27"/>
    </row>
    <row r="1072" spans="3:8" x14ac:dyDescent="0.15">
      <c r="C1072" s="26"/>
      <c r="D1072" s="22"/>
      <c r="E1072" s="20"/>
      <c r="F1072" s="20"/>
      <c r="G1072" s="20"/>
      <c r="H1072" s="27"/>
    </row>
    <row r="1073" spans="3:8" x14ac:dyDescent="0.15">
      <c r="C1073" s="26"/>
      <c r="D1073" s="22"/>
      <c r="E1073" s="20"/>
      <c r="F1073" s="20"/>
      <c r="G1073" s="20"/>
      <c r="H1073" s="27"/>
    </row>
    <row r="1074" spans="3:8" x14ac:dyDescent="0.15">
      <c r="C1074" s="26"/>
      <c r="D1074" s="22"/>
      <c r="E1074" s="20"/>
      <c r="F1074" s="20"/>
      <c r="G1074" s="20"/>
      <c r="H1074" s="27"/>
    </row>
    <row r="1075" spans="3:8" x14ac:dyDescent="0.15">
      <c r="C1075" s="26"/>
      <c r="D1075" s="22"/>
      <c r="E1075" s="20"/>
      <c r="F1075" s="20"/>
      <c r="G1075" s="20"/>
      <c r="H1075" s="27"/>
    </row>
    <row r="1076" spans="3:8" x14ac:dyDescent="0.15">
      <c r="C1076" s="26"/>
      <c r="D1076" s="22"/>
      <c r="E1076" s="20"/>
      <c r="F1076" s="20"/>
      <c r="G1076" s="20"/>
      <c r="H1076" s="27"/>
    </row>
    <row r="1077" spans="3:8" x14ac:dyDescent="0.15">
      <c r="C1077" s="26"/>
      <c r="D1077" s="22"/>
      <c r="E1077" s="20"/>
      <c r="F1077" s="20"/>
      <c r="G1077" s="20"/>
      <c r="H1077" s="27"/>
    </row>
    <row r="1078" spans="3:8" x14ac:dyDescent="0.15">
      <c r="C1078" s="26"/>
      <c r="D1078" s="22"/>
      <c r="E1078" s="20"/>
      <c r="F1078" s="20"/>
      <c r="G1078" s="20"/>
      <c r="H1078" s="27"/>
    </row>
    <row r="1079" spans="3:8" x14ac:dyDescent="0.15">
      <c r="C1079" s="26"/>
      <c r="D1079" s="22"/>
      <c r="E1079" s="20"/>
      <c r="F1079" s="20"/>
      <c r="G1079" s="20"/>
      <c r="H1079" s="27"/>
    </row>
    <row r="1080" spans="3:8" x14ac:dyDescent="0.15">
      <c r="C1080" s="26"/>
      <c r="D1080" s="22"/>
      <c r="E1080" s="20"/>
      <c r="F1080" s="20"/>
      <c r="G1080" s="20"/>
      <c r="H1080" s="27"/>
    </row>
    <row r="1081" spans="3:8" x14ac:dyDescent="0.15">
      <c r="C1081" s="26"/>
      <c r="D1081" s="22"/>
      <c r="E1081" s="20"/>
      <c r="F1081" s="20"/>
      <c r="G1081" s="20"/>
      <c r="H1081" s="27"/>
    </row>
    <row r="1082" spans="3:8" x14ac:dyDescent="0.15">
      <c r="C1082" s="26"/>
      <c r="D1082" s="22"/>
      <c r="E1082" s="20"/>
      <c r="F1082" s="20"/>
      <c r="G1082" s="20"/>
      <c r="H1082" s="27"/>
    </row>
    <row r="1083" spans="3:8" x14ac:dyDescent="0.15">
      <c r="C1083" s="26"/>
      <c r="D1083" s="22"/>
      <c r="E1083" s="20"/>
      <c r="F1083" s="20"/>
      <c r="G1083" s="20"/>
      <c r="H1083" s="27"/>
    </row>
    <row r="1084" spans="3:8" x14ac:dyDescent="0.15">
      <c r="C1084" s="26"/>
      <c r="D1084" s="22"/>
      <c r="E1084" s="20"/>
      <c r="F1084" s="20"/>
      <c r="G1084" s="20"/>
      <c r="H1084" s="27"/>
    </row>
    <row r="1085" spans="3:8" x14ac:dyDescent="0.15">
      <c r="C1085" s="26"/>
      <c r="D1085" s="22"/>
      <c r="E1085" s="20"/>
      <c r="F1085" s="20"/>
      <c r="G1085" s="20"/>
      <c r="H1085" s="27"/>
    </row>
    <row r="1086" spans="3:8" x14ac:dyDescent="0.15">
      <c r="C1086" s="26"/>
      <c r="D1086" s="22"/>
      <c r="E1086" s="20"/>
      <c r="F1086" s="20"/>
      <c r="G1086" s="20"/>
      <c r="H1086" s="27"/>
    </row>
    <row r="1087" spans="3:8" x14ac:dyDescent="0.15">
      <c r="C1087" s="26"/>
      <c r="D1087" s="22"/>
      <c r="E1087" s="20"/>
      <c r="F1087" s="20"/>
      <c r="G1087" s="20"/>
      <c r="H1087" s="27"/>
    </row>
    <row r="1088" spans="3:8" x14ac:dyDescent="0.15">
      <c r="C1088" s="26"/>
      <c r="D1088" s="22"/>
      <c r="E1088" s="20"/>
      <c r="F1088" s="20"/>
      <c r="G1088" s="20"/>
      <c r="H1088" s="27"/>
    </row>
    <row r="1089" spans="3:8" x14ac:dyDescent="0.15">
      <c r="C1089" s="26"/>
      <c r="D1089" s="22"/>
      <c r="E1089" s="20"/>
      <c r="F1089" s="20"/>
      <c r="G1089" s="20"/>
      <c r="H1089" s="27"/>
    </row>
    <row r="1090" spans="3:8" x14ac:dyDescent="0.15">
      <c r="C1090" s="26"/>
      <c r="D1090" s="22"/>
      <c r="E1090" s="20"/>
      <c r="F1090" s="20"/>
      <c r="G1090" s="20"/>
      <c r="H1090" s="27"/>
    </row>
    <row r="1091" spans="3:8" x14ac:dyDescent="0.15">
      <c r="C1091" s="26"/>
      <c r="D1091" s="22"/>
      <c r="E1091" s="20"/>
      <c r="F1091" s="20"/>
      <c r="G1091" s="20"/>
      <c r="H1091" s="27"/>
    </row>
    <row r="1092" spans="3:8" x14ac:dyDescent="0.15">
      <c r="C1092" s="26"/>
      <c r="D1092" s="22"/>
      <c r="E1092" s="20"/>
      <c r="F1092" s="20"/>
      <c r="G1092" s="20"/>
      <c r="H1092" s="27"/>
    </row>
    <row r="1093" spans="3:8" x14ac:dyDescent="0.15">
      <c r="C1093" s="26"/>
      <c r="D1093" s="22"/>
      <c r="E1093" s="20"/>
      <c r="F1093" s="20"/>
      <c r="G1093" s="20"/>
      <c r="H1093" s="27"/>
    </row>
    <row r="1094" spans="3:8" x14ac:dyDescent="0.15">
      <c r="C1094" s="26"/>
      <c r="D1094" s="22"/>
      <c r="E1094" s="20"/>
      <c r="F1094" s="20"/>
      <c r="G1094" s="20"/>
      <c r="H1094" s="27"/>
    </row>
    <row r="1095" spans="3:8" x14ac:dyDescent="0.15">
      <c r="C1095" s="26"/>
      <c r="D1095" s="22"/>
      <c r="E1095" s="20"/>
      <c r="F1095" s="20"/>
      <c r="G1095" s="20"/>
      <c r="H1095" s="27"/>
    </row>
    <row r="1096" spans="3:8" x14ac:dyDescent="0.15">
      <c r="C1096" s="26"/>
      <c r="D1096" s="22"/>
      <c r="E1096" s="20"/>
      <c r="F1096" s="20"/>
      <c r="G1096" s="20"/>
      <c r="H1096" s="27"/>
    </row>
    <row r="1097" spans="3:8" x14ac:dyDescent="0.15">
      <c r="C1097" s="26"/>
      <c r="D1097" s="22"/>
      <c r="E1097" s="20"/>
      <c r="F1097" s="20"/>
      <c r="G1097" s="20"/>
      <c r="H1097" s="27"/>
    </row>
    <row r="1098" spans="3:8" x14ac:dyDescent="0.15">
      <c r="C1098" s="26"/>
      <c r="D1098" s="22"/>
      <c r="E1098" s="20"/>
      <c r="F1098" s="20"/>
      <c r="G1098" s="20"/>
      <c r="H1098" s="27"/>
    </row>
    <row r="1099" spans="3:8" x14ac:dyDescent="0.15">
      <c r="C1099" s="26"/>
      <c r="D1099" s="22"/>
      <c r="E1099" s="20"/>
      <c r="F1099" s="20"/>
      <c r="G1099" s="20"/>
      <c r="H1099" s="27"/>
    </row>
    <row r="1100" spans="3:8" x14ac:dyDescent="0.15">
      <c r="C1100" s="26"/>
      <c r="D1100" s="22"/>
      <c r="E1100" s="20"/>
      <c r="F1100" s="20"/>
      <c r="G1100" s="20"/>
      <c r="H1100" s="27"/>
    </row>
    <row r="1101" spans="3:8" x14ac:dyDescent="0.15">
      <c r="C1101" s="26"/>
      <c r="D1101" s="22"/>
      <c r="E1101" s="20"/>
      <c r="F1101" s="20"/>
      <c r="G1101" s="20"/>
      <c r="H1101" s="27"/>
    </row>
    <row r="1102" spans="3:8" x14ac:dyDescent="0.15">
      <c r="C1102" s="26"/>
      <c r="D1102" s="22"/>
      <c r="E1102" s="20"/>
      <c r="F1102" s="20"/>
      <c r="G1102" s="20"/>
      <c r="H1102" s="27"/>
    </row>
    <row r="1103" spans="3:8" x14ac:dyDescent="0.15">
      <c r="C1103" s="26"/>
      <c r="D1103" s="22"/>
      <c r="E1103" s="20"/>
      <c r="F1103" s="20"/>
      <c r="G1103" s="20"/>
      <c r="H1103" s="27"/>
    </row>
    <row r="1104" spans="3:8" x14ac:dyDescent="0.15">
      <c r="C1104" s="26"/>
      <c r="D1104" s="22"/>
      <c r="E1104" s="20"/>
      <c r="F1104" s="20"/>
      <c r="G1104" s="20"/>
      <c r="H1104" s="27"/>
    </row>
    <row r="1105" spans="3:8" x14ac:dyDescent="0.15">
      <c r="C1105" s="26"/>
      <c r="D1105" s="22"/>
      <c r="E1105" s="20"/>
      <c r="F1105" s="20"/>
      <c r="G1105" s="20"/>
      <c r="H1105" s="27"/>
    </row>
    <row r="1106" spans="3:8" x14ac:dyDescent="0.15">
      <c r="C1106" s="26"/>
      <c r="D1106" s="22"/>
      <c r="E1106" s="20"/>
      <c r="F1106" s="20"/>
      <c r="G1106" s="20"/>
      <c r="H1106" s="27"/>
    </row>
    <row r="1107" spans="3:8" x14ac:dyDescent="0.15">
      <c r="C1107" s="26"/>
      <c r="D1107" s="22"/>
      <c r="E1107" s="20"/>
      <c r="F1107" s="20"/>
      <c r="G1107" s="20"/>
      <c r="H1107" s="27"/>
    </row>
    <row r="1108" spans="3:8" x14ac:dyDescent="0.15">
      <c r="C1108" s="26"/>
      <c r="D1108" s="22"/>
      <c r="E1108" s="20"/>
      <c r="F1108" s="20"/>
      <c r="G1108" s="20"/>
      <c r="H1108" s="27"/>
    </row>
    <row r="1109" spans="3:8" x14ac:dyDescent="0.15">
      <c r="C1109" s="26"/>
      <c r="D1109" s="22"/>
      <c r="E1109" s="20"/>
      <c r="F1109" s="20"/>
      <c r="G1109" s="20"/>
      <c r="H1109" s="27"/>
    </row>
    <row r="1110" spans="3:8" x14ac:dyDescent="0.15">
      <c r="C1110" s="26"/>
      <c r="D1110" s="22"/>
      <c r="E1110" s="20"/>
      <c r="F1110" s="20"/>
      <c r="G1110" s="20"/>
      <c r="H1110" s="27"/>
    </row>
    <row r="1111" spans="3:8" x14ac:dyDescent="0.15">
      <c r="C1111" s="26"/>
      <c r="D1111" s="22"/>
      <c r="E1111" s="20"/>
      <c r="F1111" s="20"/>
      <c r="G1111" s="20"/>
      <c r="H1111" s="27"/>
    </row>
    <row r="1112" spans="3:8" x14ac:dyDescent="0.15">
      <c r="C1112" s="26"/>
      <c r="D1112" s="22"/>
      <c r="E1112" s="20"/>
      <c r="F1112" s="20"/>
      <c r="G1112" s="20"/>
      <c r="H1112" s="27"/>
    </row>
    <row r="1113" spans="3:8" x14ac:dyDescent="0.15">
      <c r="C1113" s="26"/>
      <c r="D1113" s="22"/>
      <c r="E1113" s="20"/>
      <c r="F1113" s="20"/>
      <c r="G1113" s="20"/>
      <c r="H1113" s="27"/>
    </row>
    <row r="1114" spans="3:8" x14ac:dyDescent="0.15">
      <c r="C1114" s="26"/>
      <c r="D1114" s="22"/>
      <c r="E1114" s="20"/>
      <c r="F1114" s="20"/>
      <c r="G1114" s="20"/>
      <c r="H1114" s="27"/>
    </row>
    <row r="1115" spans="3:8" x14ac:dyDescent="0.15">
      <c r="C1115" s="26"/>
      <c r="D1115" s="22"/>
      <c r="E1115" s="20"/>
      <c r="F1115" s="20"/>
      <c r="G1115" s="20"/>
      <c r="H1115" s="27"/>
    </row>
    <row r="1116" spans="3:8" x14ac:dyDescent="0.15">
      <c r="C1116" s="26"/>
      <c r="D1116" s="22"/>
      <c r="E1116" s="20"/>
      <c r="F1116" s="20"/>
      <c r="G1116" s="20"/>
      <c r="H1116" s="27"/>
    </row>
    <row r="1117" spans="3:8" x14ac:dyDescent="0.15">
      <c r="C1117" s="26"/>
      <c r="D1117" s="22"/>
      <c r="E1117" s="20"/>
      <c r="F1117" s="20"/>
      <c r="G1117" s="20"/>
      <c r="H1117" s="27"/>
    </row>
    <row r="1118" spans="3:8" x14ac:dyDescent="0.15">
      <c r="C1118" s="26"/>
      <c r="D1118" s="22"/>
      <c r="E1118" s="20"/>
      <c r="F1118" s="20"/>
      <c r="G1118" s="20"/>
      <c r="H1118" s="27"/>
    </row>
    <row r="1119" spans="3:8" x14ac:dyDescent="0.15">
      <c r="C1119" s="26"/>
      <c r="D1119" s="22"/>
      <c r="E1119" s="20"/>
      <c r="F1119" s="20"/>
      <c r="G1119" s="20"/>
      <c r="H1119" s="27"/>
    </row>
    <row r="1120" spans="3:8" x14ac:dyDescent="0.15">
      <c r="C1120" s="26"/>
      <c r="D1120" s="22"/>
      <c r="E1120" s="20"/>
      <c r="F1120" s="20"/>
      <c r="G1120" s="20"/>
      <c r="H1120" s="27"/>
    </row>
    <row r="1121" spans="3:8" x14ac:dyDescent="0.15">
      <c r="C1121" s="26"/>
      <c r="D1121" s="22"/>
      <c r="E1121" s="20"/>
      <c r="F1121" s="20"/>
      <c r="G1121" s="20"/>
      <c r="H1121" s="27"/>
    </row>
    <row r="1122" spans="3:8" x14ac:dyDescent="0.15">
      <c r="C1122" s="26"/>
      <c r="D1122" s="22"/>
      <c r="E1122" s="20"/>
      <c r="F1122" s="20"/>
      <c r="G1122" s="20"/>
      <c r="H1122" s="27"/>
    </row>
    <row r="1123" spans="3:8" x14ac:dyDescent="0.15">
      <c r="C1123" s="26"/>
      <c r="D1123" s="22"/>
      <c r="E1123" s="20"/>
      <c r="F1123" s="20"/>
      <c r="G1123" s="20"/>
      <c r="H1123" s="27"/>
    </row>
    <row r="1124" spans="3:8" x14ac:dyDescent="0.15">
      <c r="C1124" s="26"/>
      <c r="D1124" s="22"/>
      <c r="E1124" s="20"/>
      <c r="F1124" s="20"/>
      <c r="G1124" s="20"/>
      <c r="H1124" s="27"/>
    </row>
    <row r="1125" spans="3:8" x14ac:dyDescent="0.15">
      <c r="C1125" s="26"/>
      <c r="D1125" s="22"/>
      <c r="E1125" s="20"/>
      <c r="F1125" s="20"/>
      <c r="G1125" s="20"/>
      <c r="H1125" s="27"/>
    </row>
    <row r="1126" spans="3:8" x14ac:dyDescent="0.15">
      <c r="C1126" s="26"/>
      <c r="D1126" s="22"/>
      <c r="E1126" s="20"/>
      <c r="F1126" s="20"/>
      <c r="G1126" s="20"/>
      <c r="H1126" s="27"/>
    </row>
    <row r="1127" spans="3:8" x14ac:dyDescent="0.15">
      <c r="C1127" s="26"/>
      <c r="D1127" s="22"/>
      <c r="E1127" s="20"/>
      <c r="F1127" s="20"/>
      <c r="G1127" s="20"/>
      <c r="H1127" s="27"/>
    </row>
    <row r="1128" spans="3:8" x14ac:dyDescent="0.15">
      <c r="C1128" s="26"/>
      <c r="D1128" s="22"/>
      <c r="E1128" s="20"/>
      <c r="F1128" s="20"/>
      <c r="G1128" s="20"/>
      <c r="H1128" s="27"/>
    </row>
    <row r="1129" spans="3:8" x14ac:dyDescent="0.15">
      <c r="C1129" s="26"/>
      <c r="D1129" s="22"/>
      <c r="E1129" s="20"/>
      <c r="F1129" s="20"/>
      <c r="G1129" s="20"/>
      <c r="H1129" s="27"/>
    </row>
    <row r="1130" spans="3:8" x14ac:dyDescent="0.15">
      <c r="C1130" s="26"/>
      <c r="D1130" s="22"/>
      <c r="E1130" s="20"/>
      <c r="F1130" s="20"/>
      <c r="G1130" s="20"/>
      <c r="H1130" s="27"/>
    </row>
    <row r="1131" spans="3:8" x14ac:dyDescent="0.15">
      <c r="C1131" s="26"/>
      <c r="D1131" s="22"/>
      <c r="E1131" s="20"/>
      <c r="F1131" s="20"/>
      <c r="G1131" s="20"/>
      <c r="H1131" s="27"/>
    </row>
    <row r="1132" spans="3:8" x14ac:dyDescent="0.15">
      <c r="C1132" s="26"/>
      <c r="D1132" s="22"/>
      <c r="E1132" s="20"/>
      <c r="F1132" s="20"/>
      <c r="G1132" s="20"/>
      <c r="H1132" s="27"/>
    </row>
    <row r="1133" spans="3:8" x14ac:dyDescent="0.15">
      <c r="C1133" s="26"/>
      <c r="D1133" s="22"/>
      <c r="E1133" s="20"/>
      <c r="F1133" s="20"/>
      <c r="G1133" s="20"/>
      <c r="H1133" s="27"/>
    </row>
    <row r="1134" spans="3:8" x14ac:dyDescent="0.15">
      <c r="C1134" s="26"/>
      <c r="D1134" s="22"/>
      <c r="E1134" s="20"/>
      <c r="F1134" s="20"/>
      <c r="G1134" s="20"/>
      <c r="H1134" s="27"/>
    </row>
    <row r="1135" spans="3:8" x14ac:dyDescent="0.15">
      <c r="C1135" s="26"/>
      <c r="D1135" s="22"/>
      <c r="E1135" s="20"/>
      <c r="F1135" s="20"/>
      <c r="G1135" s="20"/>
      <c r="H1135" s="27"/>
    </row>
    <row r="1136" spans="3:8" x14ac:dyDescent="0.15">
      <c r="C1136" s="26"/>
      <c r="D1136" s="22"/>
      <c r="E1136" s="20"/>
      <c r="F1136" s="20"/>
      <c r="G1136" s="20"/>
      <c r="H1136" s="27"/>
    </row>
    <row r="1137" spans="3:8" x14ac:dyDescent="0.15">
      <c r="C1137" s="26"/>
      <c r="D1137" s="22"/>
      <c r="E1137" s="20"/>
      <c r="F1137" s="20"/>
      <c r="G1137" s="20"/>
      <c r="H1137" s="27"/>
    </row>
    <row r="1138" spans="3:8" x14ac:dyDescent="0.15">
      <c r="C1138" s="26"/>
      <c r="D1138" s="22"/>
      <c r="E1138" s="20"/>
      <c r="F1138" s="20"/>
      <c r="G1138" s="20"/>
      <c r="H1138" s="27"/>
    </row>
    <row r="1139" spans="3:8" x14ac:dyDescent="0.15">
      <c r="C1139" s="26"/>
      <c r="D1139" s="22"/>
      <c r="E1139" s="20"/>
      <c r="F1139" s="20"/>
      <c r="G1139" s="20"/>
      <c r="H1139" s="27"/>
    </row>
    <row r="1140" spans="3:8" x14ac:dyDescent="0.15">
      <c r="C1140" s="26"/>
      <c r="D1140" s="22"/>
      <c r="E1140" s="20"/>
      <c r="F1140" s="20"/>
      <c r="G1140" s="20"/>
      <c r="H1140" s="27"/>
    </row>
    <row r="1141" spans="3:8" x14ac:dyDescent="0.15">
      <c r="C1141" s="26"/>
      <c r="D1141" s="22"/>
      <c r="E1141" s="20"/>
      <c r="F1141" s="20"/>
      <c r="G1141" s="20"/>
      <c r="H1141" s="27"/>
    </row>
    <row r="1142" spans="3:8" x14ac:dyDescent="0.15">
      <c r="C1142" s="26"/>
      <c r="D1142" s="22"/>
      <c r="E1142" s="20"/>
      <c r="F1142" s="20"/>
      <c r="G1142" s="20"/>
      <c r="H1142" s="27"/>
    </row>
    <row r="1143" spans="3:8" x14ac:dyDescent="0.15">
      <c r="C1143" s="26"/>
      <c r="D1143" s="22"/>
      <c r="E1143" s="20"/>
      <c r="F1143" s="20"/>
      <c r="G1143" s="20"/>
      <c r="H1143" s="27"/>
    </row>
    <row r="1144" spans="3:8" x14ac:dyDescent="0.15">
      <c r="C1144" s="26"/>
      <c r="D1144" s="22"/>
      <c r="E1144" s="20"/>
      <c r="F1144" s="20"/>
      <c r="G1144" s="20"/>
      <c r="H1144" s="27"/>
    </row>
    <row r="1145" spans="3:8" x14ac:dyDescent="0.15">
      <c r="C1145" s="26"/>
      <c r="D1145" s="22"/>
      <c r="E1145" s="20"/>
      <c r="F1145" s="20"/>
      <c r="G1145" s="20"/>
      <c r="H1145" s="27"/>
    </row>
    <row r="1146" spans="3:8" x14ac:dyDescent="0.15">
      <c r="C1146" s="26"/>
      <c r="D1146" s="22"/>
      <c r="E1146" s="20"/>
      <c r="F1146" s="20"/>
      <c r="G1146" s="20"/>
      <c r="H1146" s="27"/>
    </row>
    <row r="1147" spans="3:8" x14ac:dyDescent="0.15">
      <c r="C1147" s="26"/>
      <c r="D1147" s="22"/>
      <c r="E1147" s="20"/>
      <c r="F1147" s="20"/>
      <c r="G1147" s="20"/>
      <c r="H1147" s="27"/>
    </row>
    <row r="1148" spans="3:8" x14ac:dyDescent="0.15">
      <c r="C1148" s="26"/>
      <c r="D1148" s="22"/>
      <c r="E1148" s="20"/>
      <c r="F1148" s="20"/>
      <c r="G1148" s="20"/>
      <c r="H1148" s="27"/>
    </row>
    <row r="1149" spans="3:8" x14ac:dyDescent="0.15">
      <c r="C1149" s="26"/>
      <c r="D1149" s="22"/>
      <c r="E1149" s="20"/>
      <c r="F1149" s="20"/>
      <c r="G1149" s="20"/>
      <c r="H1149" s="27"/>
    </row>
    <row r="1150" spans="3:8" x14ac:dyDescent="0.15">
      <c r="C1150" s="26"/>
      <c r="D1150" s="22"/>
      <c r="E1150" s="20"/>
      <c r="F1150" s="20"/>
      <c r="G1150" s="20"/>
      <c r="H1150" s="27"/>
    </row>
    <row r="1151" spans="3:8" x14ac:dyDescent="0.15">
      <c r="C1151" s="26"/>
      <c r="D1151" s="22"/>
      <c r="E1151" s="20"/>
      <c r="F1151" s="20"/>
      <c r="G1151" s="20"/>
      <c r="H1151" s="27"/>
    </row>
    <row r="1152" spans="3:8" x14ac:dyDescent="0.15">
      <c r="C1152" s="26"/>
      <c r="D1152" s="22"/>
      <c r="E1152" s="20"/>
      <c r="F1152" s="20"/>
      <c r="G1152" s="20"/>
      <c r="H1152" s="27"/>
    </row>
    <row r="1153" spans="3:8" x14ac:dyDescent="0.15">
      <c r="C1153" s="26"/>
      <c r="D1153" s="22"/>
      <c r="E1153" s="20"/>
      <c r="F1153" s="20"/>
      <c r="G1153" s="20"/>
      <c r="H1153" s="27"/>
    </row>
    <row r="1154" spans="3:8" x14ac:dyDescent="0.15">
      <c r="C1154" s="26"/>
      <c r="D1154" s="22"/>
      <c r="E1154" s="20"/>
      <c r="F1154" s="20"/>
      <c r="G1154" s="20"/>
      <c r="H1154" s="27"/>
    </row>
    <row r="1155" spans="3:8" x14ac:dyDescent="0.15">
      <c r="C1155" s="26"/>
      <c r="D1155" s="22"/>
      <c r="E1155" s="20"/>
      <c r="F1155" s="20"/>
      <c r="G1155" s="20"/>
      <c r="H1155" s="27"/>
    </row>
    <row r="1156" spans="3:8" x14ac:dyDescent="0.15">
      <c r="C1156" s="26"/>
      <c r="D1156" s="22"/>
      <c r="E1156" s="20"/>
      <c r="F1156" s="20"/>
      <c r="G1156" s="20"/>
      <c r="H1156" s="27"/>
    </row>
    <row r="1157" spans="3:8" x14ac:dyDescent="0.15">
      <c r="C1157" s="26"/>
      <c r="D1157" s="22"/>
      <c r="E1157" s="20"/>
      <c r="F1157" s="20"/>
      <c r="G1157" s="20"/>
      <c r="H1157" s="27"/>
    </row>
    <row r="1158" spans="3:8" x14ac:dyDescent="0.15">
      <c r="C1158" s="26"/>
      <c r="D1158" s="22"/>
      <c r="E1158" s="20"/>
      <c r="F1158" s="20"/>
      <c r="G1158" s="20"/>
      <c r="H1158" s="27"/>
    </row>
    <row r="1159" spans="3:8" x14ac:dyDescent="0.15">
      <c r="C1159" s="26"/>
      <c r="D1159" s="22"/>
      <c r="E1159" s="20"/>
      <c r="F1159" s="20"/>
      <c r="G1159" s="20"/>
      <c r="H1159" s="27"/>
    </row>
    <row r="1160" spans="3:8" x14ac:dyDescent="0.15">
      <c r="C1160" s="26"/>
      <c r="D1160" s="22"/>
      <c r="E1160" s="20"/>
      <c r="F1160" s="20"/>
      <c r="G1160" s="20"/>
      <c r="H1160" s="27"/>
    </row>
    <row r="1161" spans="3:8" x14ac:dyDescent="0.15">
      <c r="C1161" s="26"/>
      <c r="D1161" s="22"/>
      <c r="E1161" s="20"/>
      <c r="F1161" s="20"/>
      <c r="G1161" s="20"/>
      <c r="H1161" s="27"/>
    </row>
    <row r="1162" spans="3:8" x14ac:dyDescent="0.15">
      <c r="C1162" s="26"/>
      <c r="D1162" s="22"/>
      <c r="E1162" s="20"/>
      <c r="F1162" s="20"/>
      <c r="G1162" s="20"/>
      <c r="H1162" s="27"/>
    </row>
    <row r="1163" spans="3:8" x14ac:dyDescent="0.15">
      <c r="C1163" s="26"/>
      <c r="D1163" s="22"/>
      <c r="E1163" s="20"/>
      <c r="F1163" s="20"/>
      <c r="G1163" s="20"/>
      <c r="H1163" s="27"/>
    </row>
    <row r="1164" spans="3:8" x14ac:dyDescent="0.15">
      <c r="C1164" s="26"/>
      <c r="D1164" s="22"/>
      <c r="E1164" s="20"/>
      <c r="F1164" s="20"/>
      <c r="G1164" s="20"/>
      <c r="H1164" s="27"/>
    </row>
    <row r="1165" spans="3:8" x14ac:dyDescent="0.15">
      <c r="C1165" s="26"/>
      <c r="D1165" s="22"/>
      <c r="E1165" s="20"/>
      <c r="F1165" s="20"/>
      <c r="G1165" s="20"/>
      <c r="H1165" s="27"/>
    </row>
    <row r="1166" spans="3:8" x14ac:dyDescent="0.15">
      <c r="C1166" s="26"/>
      <c r="D1166" s="22"/>
      <c r="E1166" s="20"/>
      <c r="F1166" s="20"/>
      <c r="G1166" s="20"/>
      <c r="H1166" s="27"/>
    </row>
    <row r="1167" spans="3:8" x14ac:dyDescent="0.15">
      <c r="C1167" s="26"/>
      <c r="D1167" s="22"/>
      <c r="E1167" s="20"/>
      <c r="F1167" s="20"/>
      <c r="G1167" s="20"/>
      <c r="H1167" s="27"/>
    </row>
    <row r="1168" spans="3:8" x14ac:dyDescent="0.15">
      <c r="C1168" s="26"/>
      <c r="D1168" s="22"/>
      <c r="E1168" s="20"/>
      <c r="F1168" s="20"/>
      <c r="G1168" s="20"/>
      <c r="H1168" s="27"/>
    </row>
    <row r="1169" spans="3:8" x14ac:dyDescent="0.15">
      <c r="C1169" s="26"/>
      <c r="D1169" s="22"/>
      <c r="E1169" s="20"/>
      <c r="F1169" s="20"/>
      <c r="G1169" s="20"/>
      <c r="H1169" s="27"/>
    </row>
    <row r="1170" spans="3:8" x14ac:dyDescent="0.15">
      <c r="C1170" s="26"/>
      <c r="D1170" s="22"/>
      <c r="E1170" s="20"/>
      <c r="F1170" s="20"/>
      <c r="G1170" s="20"/>
      <c r="H1170" s="27"/>
    </row>
    <row r="1171" spans="3:8" x14ac:dyDescent="0.15">
      <c r="C1171" s="26"/>
      <c r="D1171" s="22"/>
      <c r="E1171" s="20"/>
      <c r="F1171" s="20"/>
      <c r="G1171" s="20"/>
      <c r="H1171" s="27"/>
    </row>
    <row r="1172" spans="3:8" x14ac:dyDescent="0.15">
      <c r="C1172" s="26"/>
      <c r="D1172" s="22"/>
      <c r="E1172" s="20"/>
      <c r="F1172" s="20"/>
      <c r="G1172" s="20"/>
      <c r="H1172" s="27"/>
    </row>
    <row r="1173" spans="3:8" x14ac:dyDescent="0.15">
      <c r="C1173" s="26"/>
      <c r="D1173" s="22"/>
      <c r="E1173" s="20"/>
      <c r="F1173" s="20"/>
      <c r="G1173" s="20"/>
      <c r="H1173" s="27"/>
    </row>
    <row r="1174" spans="3:8" x14ac:dyDescent="0.15">
      <c r="C1174" s="26"/>
      <c r="D1174" s="22"/>
      <c r="E1174" s="20"/>
      <c r="F1174" s="20"/>
      <c r="G1174" s="20"/>
      <c r="H1174" s="27"/>
    </row>
    <row r="1175" spans="3:8" x14ac:dyDescent="0.15">
      <c r="C1175" s="26"/>
      <c r="D1175" s="22"/>
      <c r="E1175" s="20"/>
      <c r="F1175" s="20"/>
      <c r="G1175" s="20"/>
      <c r="H1175" s="27"/>
    </row>
    <row r="1176" spans="3:8" x14ac:dyDescent="0.15">
      <c r="C1176" s="26"/>
      <c r="D1176" s="22"/>
      <c r="E1176" s="20"/>
      <c r="F1176" s="20"/>
      <c r="G1176" s="20"/>
      <c r="H1176" s="27"/>
    </row>
    <row r="1177" spans="3:8" x14ac:dyDescent="0.15">
      <c r="C1177" s="26"/>
      <c r="D1177" s="22"/>
      <c r="E1177" s="20"/>
      <c r="F1177" s="20"/>
      <c r="G1177" s="20"/>
      <c r="H1177" s="27"/>
    </row>
    <row r="1178" spans="3:8" x14ac:dyDescent="0.15">
      <c r="C1178" s="26"/>
      <c r="D1178" s="22"/>
      <c r="E1178" s="20"/>
      <c r="F1178" s="20"/>
      <c r="G1178" s="20"/>
      <c r="H1178" s="27"/>
    </row>
    <row r="1179" spans="3:8" x14ac:dyDescent="0.15">
      <c r="C1179" s="26"/>
      <c r="D1179" s="22"/>
      <c r="E1179" s="20"/>
      <c r="F1179" s="20"/>
      <c r="G1179" s="20"/>
      <c r="H1179" s="27"/>
    </row>
    <row r="1180" spans="3:8" x14ac:dyDescent="0.15">
      <c r="C1180" s="26"/>
      <c r="D1180" s="22"/>
      <c r="E1180" s="20"/>
      <c r="F1180" s="20"/>
      <c r="G1180" s="20"/>
      <c r="H1180" s="27"/>
    </row>
    <row r="1181" spans="3:8" x14ac:dyDescent="0.15">
      <c r="C1181" s="26"/>
      <c r="D1181" s="22"/>
      <c r="E1181" s="20"/>
      <c r="F1181" s="20"/>
      <c r="G1181" s="20"/>
      <c r="H1181" s="27"/>
    </row>
    <row r="1182" spans="3:8" x14ac:dyDescent="0.15">
      <c r="C1182" s="26"/>
      <c r="D1182" s="22"/>
      <c r="E1182" s="20"/>
      <c r="F1182" s="20"/>
      <c r="G1182" s="20"/>
      <c r="H1182" s="27"/>
    </row>
    <row r="1183" spans="3:8" x14ac:dyDescent="0.15">
      <c r="C1183" s="26"/>
      <c r="D1183" s="22"/>
      <c r="E1183" s="20"/>
      <c r="F1183" s="20"/>
      <c r="G1183" s="20"/>
      <c r="H1183" s="27"/>
    </row>
    <row r="1184" spans="3:8" x14ac:dyDescent="0.15">
      <c r="C1184" s="26"/>
      <c r="D1184" s="22"/>
      <c r="E1184" s="20"/>
      <c r="F1184" s="20"/>
      <c r="G1184" s="20"/>
      <c r="H1184" s="27"/>
    </row>
    <row r="1185" spans="3:8" x14ac:dyDescent="0.15">
      <c r="C1185" s="26"/>
      <c r="D1185" s="22"/>
      <c r="E1185" s="20"/>
      <c r="F1185" s="20"/>
      <c r="G1185" s="20"/>
      <c r="H1185" s="27"/>
    </row>
    <row r="1186" spans="3:8" x14ac:dyDescent="0.15">
      <c r="C1186" s="26"/>
      <c r="D1186" s="22"/>
      <c r="E1186" s="20"/>
      <c r="F1186" s="20"/>
      <c r="G1186" s="20"/>
      <c r="H1186" s="27"/>
    </row>
    <row r="1187" spans="3:8" x14ac:dyDescent="0.15">
      <c r="C1187" s="26"/>
      <c r="D1187" s="22"/>
      <c r="E1187" s="20"/>
      <c r="F1187" s="20"/>
      <c r="G1187" s="20"/>
      <c r="H1187" s="27"/>
    </row>
    <row r="1188" spans="3:8" x14ac:dyDescent="0.15">
      <c r="C1188" s="26"/>
      <c r="D1188" s="22"/>
      <c r="E1188" s="20"/>
      <c r="F1188" s="20"/>
      <c r="G1188" s="20"/>
      <c r="H1188" s="27"/>
    </row>
    <row r="1189" spans="3:8" x14ac:dyDescent="0.15">
      <c r="C1189" s="26"/>
      <c r="D1189" s="22"/>
      <c r="E1189" s="20"/>
      <c r="F1189" s="20"/>
      <c r="G1189" s="20"/>
      <c r="H1189" s="27"/>
    </row>
    <row r="1190" spans="3:8" x14ac:dyDescent="0.15">
      <c r="C1190" s="26"/>
      <c r="D1190" s="22"/>
      <c r="E1190" s="20"/>
      <c r="F1190" s="20"/>
      <c r="G1190" s="20"/>
      <c r="H1190" s="27"/>
    </row>
    <row r="1191" spans="3:8" x14ac:dyDescent="0.15">
      <c r="C1191" s="26"/>
      <c r="D1191" s="22"/>
      <c r="E1191" s="20"/>
      <c r="F1191" s="20"/>
      <c r="G1191" s="20"/>
      <c r="H1191" s="27"/>
    </row>
    <row r="1192" spans="3:8" x14ac:dyDescent="0.15">
      <c r="C1192" s="26"/>
      <c r="D1192" s="22"/>
      <c r="E1192" s="20"/>
      <c r="F1192" s="20"/>
      <c r="G1192" s="20"/>
      <c r="H1192" s="27"/>
    </row>
    <row r="1193" spans="3:8" x14ac:dyDescent="0.15">
      <c r="C1193" s="26"/>
      <c r="D1193" s="22"/>
      <c r="E1193" s="20"/>
      <c r="F1193" s="20"/>
      <c r="G1193" s="20"/>
      <c r="H1193" s="27"/>
    </row>
    <row r="1194" spans="3:8" x14ac:dyDescent="0.15">
      <c r="C1194" s="26"/>
      <c r="D1194" s="22"/>
      <c r="E1194" s="20"/>
      <c r="F1194" s="20"/>
      <c r="G1194" s="20"/>
      <c r="H1194" s="27"/>
    </row>
    <row r="1195" spans="3:8" x14ac:dyDescent="0.15">
      <c r="C1195" s="26"/>
      <c r="D1195" s="22"/>
      <c r="E1195" s="20"/>
      <c r="F1195" s="20"/>
      <c r="G1195" s="20"/>
      <c r="H1195" s="27"/>
    </row>
    <row r="1196" spans="3:8" x14ac:dyDescent="0.15">
      <c r="C1196" s="26"/>
      <c r="D1196" s="22"/>
      <c r="E1196" s="20"/>
      <c r="F1196" s="20"/>
      <c r="G1196" s="20"/>
      <c r="H1196" s="27"/>
    </row>
    <row r="1197" spans="3:8" x14ac:dyDescent="0.15">
      <c r="C1197" s="26"/>
      <c r="D1197" s="22"/>
      <c r="E1197" s="20"/>
      <c r="F1197" s="20"/>
      <c r="G1197" s="20"/>
      <c r="H1197" s="27"/>
    </row>
    <row r="1198" spans="3:8" x14ac:dyDescent="0.15">
      <c r="C1198" s="26"/>
      <c r="D1198" s="22"/>
      <c r="E1198" s="20"/>
      <c r="F1198" s="20"/>
      <c r="G1198" s="20"/>
      <c r="H1198" s="27"/>
    </row>
    <row r="1199" spans="3:8" x14ac:dyDescent="0.15">
      <c r="C1199" s="26"/>
      <c r="D1199" s="22"/>
      <c r="E1199" s="20"/>
      <c r="F1199" s="20"/>
      <c r="G1199" s="20"/>
      <c r="H1199" s="27"/>
    </row>
    <row r="1200" spans="3:8" x14ac:dyDescent="0.15">
      <c r="C1200" s="26"/>
      <c r="D1200" s="22"/>
      <c r="E1200" s="20"/>
      <c r="F1200" s="20"/>
      <c r="G1200" s="20"/>
      <c r="H1200" s="27"/>
    </row>
    <row r="1201" spans="3:8" x14ac:dyDescent="0.15">
      <c r="C1201" s="26"/>
      <c r="D1201" s="22"/>
      <c r="E1201" s="20"/>
      <c r="F1201" s="20"/>
      <c r="G1201" s="20"/>
      <c r="H1201" s="27"/>
    </row>
    <row r="1202" spans="3:8" x14ac:dyDescent="0.15">
      <c r="C1202" s="26"/>
      <c r="D1202" s="22"/>
      <c r="E1202" s="20"/>
      <c r="F1202" s="20"/>
      <c r="G1202" s="20"/>
      <c r="H1202" s="27"/>
    </row>
    <row r="1203" spans="3:8" x14ac:dyDescent="0.15">
      <c r="C1203" s="26"/>
      <c r="D1203" s="22"/>
      <c r="E1203" s="20"/>
      <c r="F1203" s="20"/>
      <c r="G1203" s="20"/>
      <c r="H1203" s="27"/>
    </row>
    <row r="1204" spans="3:8" x14ac:dyDescent="0.15">
      <c r="C1204" s="26"/>
      <c r="D1204" s="22"/>
      <c r="E1204" s="20"/>
      <c r="F1204" s="20"/>
      <c r="G1204" s="20"/>
      <c r="H1204" s="27"/>
    </row>
    <row r="1205" spans="3:8" x14ac:dyDescent="0.15">
      <c r="C1205" s="26"/>
      <c r="D1205" s="22"/>
      <c r="E1205" s="20"/>
      <c r="F1205" s="20"/>
      <c r="G1205" s="20"/>
      <c r="H1205" s="27"/>
    </row>
    <row r="1206" spans="3:8" x14ac:dyDescent="0.15">
      <c r="C1206" s="26"/>
      <c r="D1206" s="22"/>
      <c r="E1206" s="20"/>
      <c r="F1206" s="20"/>
      <c r="G1206" s="20"/>
      <c r="H1206" s="27"/>
    </row>
    <row r="1207" spans="3:8" x14ac:dyDescent="0.15">
      <c r="C1207" s="26"/>
      <c r="D1207" s="22"/>
      <c r="E1207" s="20"/>
      <c r="F1207" s="20"/>
      <c r="G1207" s="20"/>
      <c r="H1207" s="27"/>
    </row>
    <row r="1208" spans="3:8" x14ac:dyDescent="0.15">
      <c r="C1208" s="26"/>
      <c r="D1208" s="22"/>
      <c r="E1208" s="20"/>
      <c r="F1208" s="20"/>
      <c r="G1208" s="20"/>
      <c r="H1208" s="27"/>
    </row>
    <row r="1209" spans="3:8" x14ac:dyDescent="0.15">
      <c r="C1209" s="26"/>
      <c r="D1209" s="22"/>
      <c r="E1209" s="20"/>
      <c r="F1209" s="20"/>
      <c r="G1209" s="20"/>
      <c r="H1209" s="27"/>
    </row>
    <row r="1210" spans="3:8" x14ac:dyDescent="0.15">
      <c r="C1210" s="26"/>
      <c r="D1210" s="22"/>
      <c r="E1210" s="20"/>
      <c r="F1210" s="20"/>
      <c r="G1210" s="20"/>
      <c r="H1210" s="27"/>
    </row>
    <row r="1211" spans="3:8" x14ac:dyDescent="0.15">
      <c r="C1211" s="26"/>
      <c r="D1211" s="22"/>
      <c r="E1211" s="20"/>
      <c r="F1211" s="20"/>
      <c r="G1211" s="20"/>
      <c r="H1211" s="27"/>
    </row>
    <row r="1212" spans="3:8" x14ac:dyDescent="0.15">
      <c r="C1212" s="26"/>
      <c r="D1212" s="22"/>
      <c r="E1212" s="20"/>
      <c r="F1212" s="20"/>
      <c r="G1212" s="20"/>
      <c r="H1212" s="27"/>
    </row>
    <row r="1213" spans="3:8" x14ac:dyDescent="0.15">
      <c r="C1213" s="26"/>
      <c r="D1213" s="22"/>
      <c r="E1213" s="20"/>
      <c r="F1213" s="20"/>
      <c r="G1213" s="20"/>
      <c r="H1213" s="27"/>
    </row>
    <row r="1214" spans="3:8" x14ac:dyDescent="0.15">
      <c r="C1214" s="26"/>
      <c r="D1214" s="22"/>
      <c r="E1214" s="20"/>
      <c r="F1214" s="20"/>
      <c r="G1214" s="20"/>
      <c r="H1214" s="27"/>
    </row>
    <row r="1215" spans="3:8" x14ac:dyDescent="0.15">
      <c r="C1215" s="26"/>
      <c r="D1215" s="22"/>
      <c r="E1215" s="20"/>
      <c r="F1215" s="20"/>
      <c r="G1215" s="20"/>
      <c r="H1215" s="27"/>
    </row>
    <row r="1216" spans="3:8" x14ac:dyDescent="0.15">
      <c r="C1216" s="26"/>
      <c r="D1216" s="22"/>
      <c r="E1216" s="20"/>
      <c r="F1216" s="20"/>
      <c r="G1216" s="20"/>
      <c r="H1216" s="27"/>
    </row>
    <row r="1217" spans="3:8" x14ac:dyDescent="0.15">
      <c r="C1217" s="26"/>
      <c r="D1217" s="22"/>
      <c r="E1217" s="20"/>
      <c r="F1217" s="20"/>
      <c r="G1217" s="20"/>
      <c r="H1217" s="27"/>
    </row>
    <row r="1218" spans="3:8" x14ac:dyDescent="0.15">
      <c r="C1218" s="26"/>
      <c r="D1218" s="22"/>
      <c r="E1218" s="20"/>
      <c r="F1218" s="20"/>
      <c r="G1218" s="20"/>
      <c r="H1218" s="27"/>
    </row>
    <row r="1219" spans="3:8" x14ac:dyDescent="0.15">
      <c r="C1219" s="26"/>
      <c r="D1219" s="22"/>
      <c r="E1219" s="20"/>
      <c r="F1219" s="20"/>
      <c r="G1219" s="20"/>
      <c r="H1219" s="27"/>
    </row>
    <row r="1220" spans="3:8" x14ac:dyDescent="0.15">
      <c r="C1220" s="26"/>
      <c r="D1220" s="22"/>
      <c r="E1220" s="20"/>
      <c r="F1220" s="20"/>
      <c r="G1220" s="20"/>
      <c r="H1220" s="27"/>
    </row>
    <row r="1221" spans="3:8" x14ac:dyDescent="0.15">
      <c r="C1221" s="26"/>
      <c r="D1221" s="22"/>
      <c r="E1221" s="20"/>
      <c r="F1221" s="20"/>
      <c r="G1221" s="20"/>
      <c r="H1221" s="27"/>
    </row>
    <row r="1222" spans="3:8" x14ac:dyDescent="0.15">
      <c r="C1222" s="26"/>
      <c r="D1222" s="22"/>
      <c r="E1222" s="20"/>
      <c r="F1222" s="20"/>
      <c r="G1222" s="20"/>
      <c r="H1222" s="27"/>
    </row>
    <row r="1223" spans="3:8" x14ac:dyDescent="0.15">
      <c r="C1223" s="26"/>
      <c r="D1223" s="22"/>
      <c r="E1223" s="20"/>
      <c r="F1223" s="20"/>
      <c r="G1223" s="20"/>
      <c r="H1223" s="27"/>
    </row>
    <row r="1224" spans="3:8" x14ac:dyDescent="0.15">
      <c r="C1224" s="26"/>
      <c r="D1224" s="22"/>
      <c r="E1224" s="20"/>
      <c r="F1224" s="20"/>
      <c r="G1224" s="20"/>
      <c r="H1224" s="27"/>
    </row>
    <row r="1225" spans="3:8" x14ac:dyDescent="0.15">
      <c r="C1225" s="26"/>
      <c r="D1225" s="22"/>
      <c r="E1225" s="20"/>
      <c r="F1225" s="20"/>
      <c r="G1225" s="20"/>
      <c r="H1225" s="27"/>
    </row>
    <row r="1226" spans="3:8" x14ac:dyDescent="0.15">
      <c r="C1226" s="26"/>
      <c r="D1226" s="22"/>
      <c r="E1226" s="20"/>
      <c r="F1226" s="20"/>
      <c r="G1226" s="20"/>
      <c r="H1226" s="27"/>
    </row>
    <row r="1227" spans="3:8" x14ac:dyDescent="0.15">
      <c r="C1227" s="26"/>
      <c r="D1227" s="22"/>
      <c r="E1227" s="20"/>
      <c r="F1227" s="20"/>
      <c r="G1227" s="20"/>
      <c r="H1227" s="27"/>
    </row>
    <row r="1228" spans="3:8" x14ac:dyDescent="0.15">
      <c r="C1228" s="26"/>
      <c r="D1228" s="22"/>
      <c r="E1228" s="20"/>
      <c r="F1228" s="20"/>
      <c r="G1228" s="20"/>
      <c r="H1228" s="27"/>
    </row>
    <row r="1229" spans="3:8" x14ac:dyDescent="0.15">
      <c r="C1229" s="26"/>
      <c r="D1229" s="22"/>
      <c r="E1229" s="20"/>
      <c r="F1229" s="20"/>
      <c r="G1229" s="20"/>
      <c r="H1229" s="27"/>
    </row>
    <row r="1230" spans="3:8" x14ac:dyDescent="0.15">
      <c r="C1230" s="26"/>
      <c r="D1230" s="22"/>
      <c r="E1230" s="20"/>
      <c r="F1230" s="20"/>
      <c r="G1230" s="20"/>
      <c r="H1230" s="27"/>
    </row>
    <row r="1231" spans="3:8" x14ac:dyDescent="0.15">
      <c r="C1231" s="26"/>
      <c r="D1231" s="22"/>
      <c r="E1231" s="20"/>
      <c r="F1231" s="20"/>
      <c r="G1231" s="20"/>
      <c r="H1231" s="27"/>
    </row>
    <row r="1232" spans="3:8" x14ac:dyDescent="0.15">
      <c r="C1232" s="26"/>
      <c r="D1232" s="22"/>
      <c r="E1232" s="20"/>
      <c r="F1232" s="20"/>
      <c r="G1232" s="20"/>
      <c r="H1232" s="27"/>
    </row>
    <row r="1233" spans="3:8" x14ac:dyDescent="0.15">
      <c r="C1233" s="26"/>
      <c r="D1233" s="22"/>
      <c r="E1233" s="20"/>
      <c r="F1233" s="20"/>
      <c r="G1233" s="20"/>
      <c r="H1233" s="27"/>
    </row>
    <row r="1234" spans="3:8" x14ac:dyDescent="0.15">
      <c r="C1234" s="26"/>
      <c r="D1234" s="22"/>
      <c r="E1234" s="20"/>
      <c r="F1234" s="20"/>
      <c r="G1234" s="20"/>
      <c r="H1234" s="27"/>
    </row>
    <row r="1235" spans="3:8" x14ac:dyDescent="0.15">
      <c r="C1235" s="26"/>
      <c r="D1235" s="22"/>
      <c r="E1235" s="20"/>
      <c r="F1235" s="20"/>
      <c r="G1235" s="20"/>
      <c r="H1235" s="27"/>
    </row>
    <row r="1236" spans="3:8" x14ac:dyDescent="0.15">
      <c r="C1236" s="26"/>
      <c r="D1236" s="22"/>
      <c r="E1236" s="20"/>
      <c r="F1236" s="20"/>
      <c r="G1236" s="20"/>
      <c r="H1236" s="27"/>
    </row>
    <row r="1237" spans="3:8" x14ac:dyDescent="0.15">
      <c r="C1237" s="26"/>
      <c r="D1237" s="22"/>
      <c r="E1237" s="20"/>
      <c r="F1237" s="20"/>
      <c r="G1237" s="20"/>
      <c r="H1237" s="27"/>
    </row>
    <row r="1238" spans="3:8" x14ac:dyDescent="0.15">
      <c r="C1238" s="26"/>
      <c r="D1238" s="22"/>
      <c r="E1238" s="20"/>
      <c r="F1238" s="20"/>
      <c r="G1238" s="20"/>
      <c r="H1238" s="27"/>
    </row>
    <row r="1239" spans="3:8" x14ac:dyDescent="0.15">
      <c r="C1239" s="26"/>
      <c r="D1239" s="22"/>
      <c r="E1239" s="20"/>
      <c r="F1239" s="20"/>
      <c r="G1239" s="20"/>
      <c r="H1239" s="27"/>
    </row>
    <row r="1240" spans="3:8" x14ac:dyDescent="0.15">
      <c r="C1240" s="26"/>
      <c r="D1240" s="22"/>
      <c r="E1240" s="20"/>
      <c r="F1240" s="20"/>
      <c r="G1240" s="20"/>
      <c r="H1240" s="27"/>
    </row>
    <row r="1241" spans="3:8" x14ac:dyDescent="0.15">
      <c r="C1241" s="26"/>
      <c r="D1241" s="22"/>
      <c r="E1241" s="20"/>
      <c r="F1241" s="20"/>
      <c r="G1241" s="20"/>
      <c r="H1241" s="27"/>
    </row>
    <row r="1242" spans="3:8" x14ac:dyDescent="0.15">
      <c r="C1242" s="26"/>
      <c r="D1242" s="22"/>
      <c r="E1242" s="20"/>
      <c r="F1242" s="20"/>
      <c r="G1242" s="20"/>
      <c r="H1242" s="27"/>
    </row>
    <row r="1243" spans="3:8" x14ac:dyDescent="0.15">
      <c r="C1243" s="26"/>
      <c r="D1243" s="22"/>
      <c r="E1243" s="20"/>
      <c r="F1243" s="20"/>
      <c r="G1243" s="20"/>
      <c r="H1243" s="27"/>
    </row>
    <row r="1244" spans="3:8" x14ac:dyDescent="0.15">
      <c r="C1244" s="26"/>
      <c r="D1244" s="22"/>
      <c r="E1244" s="20"/>
      <c r="F1244" s="20"/>
      <c r="G1244" s="20"/>
      <c r="H1244" s="27"/>
    </row>
    <row r="1245" spans="3:8" x14ac:dyDescent="0.15">
      <c r="C1245" s="26"/>
      <c r="D1245" s="22"/>
      <c r="E1245" s="20"/>
      <c r="F1245" s="20"/>
      <c r="G1245" s="20"/>
      <c r="H1245" s="27"/>
    </row>
    <row r="1246" spans="3:8" x14ac:dyDescent="0.15">
      <c r="C1246" s="26"/>
      <c r="D1246" s="22"/>
      <c r="E1246" s="20"/>
      <c r="F1246" s="20"/>
      <c r="G1246" s="20"/>
      <c r="H1246" s="27"/>
    </row>
    <row r="1247" spans="3:8" x14ac:dyDescent="0.15">
      <c r="C1247" s="26"/>
      <c r="D1247" s="22"/>
      <c r="E1247" s="20"/>
      <c r="F1247" s="20"/>
      <c r="G1247" s="20"/>
      <c r="H1247" s="27"/>
    </row>
    <row r="1248" spans="3:8" x14ac:dyDescent="0.15">
      <c r="C1248" s="26"/>
      <c r="D1248" s="22"/>
      <c r="E1248" s="20"/>
      <c r="F1248" s="20"/>
      <c r="G1248" s="20"/>
      <c r="H1248" s="27"/>
    </row>
    <row r="1249" spans="3:8" x14ac:dyDescent="0.15">
      <c r="C1249" s="26"/>
      <c r="D1249" s="22"/>
      <c r="E1249" s="20"/>
      <c r="F1249" s="20"/>
      <c r="G1249" s="20"/>
      <c r="H1249" s="27"/>
    </row>
    <row r="1250" spans="3:8" x14ac:dyDescent="0.15">
      <c r="C1250" s="26"/>
      <c r="D1250" s="22"/>
      <c r="E1250" s="20"/>
      <c r="F1250" s="20"/>
      <c r="G1250" s="20"/>
      <c r="H1250" s="27"/>
    </row>
    <row r="1251" spans="3:8" x14ac:dyDescent="0.15">
      <c r="C1251" s="26"/>
      <c r="D1251" s="22"/>
      <c r="E1251" s="20"/>
      <c r="F1251" s="20"/>
      <c r="G1251" s="20"/>
      <c r="H1251" s="27"/>
    </row>
    <row r="1252" spans="3:8" x14ac:dyDescent="0.15">
      <c r="C1252" s="26"/>
      <c r="D1252" s="22"/>
      <c r="E1252" s="20"/>
      <c r="F1252" s="20"/>
      <c r="G1252" s="20"/>
      <c r="H1252" s="27"/>
    </row>
    <row r="1253" spans="3:8" x14ac:dyDescent="0.15">
      <c r="C1253" s="26"/>
      <c r="D1253" s="22"/>
      <c r="E1253" s="20"/>
      <c r="F1253" s="20"/>
      <c r="G1253" s="20"/>
      <c r="H1253" s="27"/>
    </row>
    <row r="1254" spans="3:8" x14ac:dyDescent="0.15">
      <c r="C1254" s="26"/>
      <c r="D1254" s="22"/>
      <c r="E1254" s="20"/>
      <c r="F1254" s="20"/>
      <c r="G1254" s="20"/>
      <c r="H1254" s="27"/>
    </row>
    <row r="1255" spans="3:8" x14ac:dyDescent="0.15">
      <c r="C1255" s="26"/>
      <c r="D1255" s="22"/>
      <c r="E1255" s="20"/>
      <c r="F1255" s="20"/>
      <c r="G1255" s="20"/>
      <c r="H1255" s="27"/>
    </row>
    <row r="1256" spans="3:8" x14ac:dyDescent="0.15">
      <c r="C1256" s="26"/>
      <c r="D1256" s="22"/>
      <c r="E1256" s="20"/>
      <c r="F1256" s="20"/>
      <c r="G1256" s="20"/>
      <c r="H1256" s="27"/>
    </row>
    <row r="1257" spans="3:8" x14ac:dyDescent="0.15">
      <c r="C1257" s="26"/>
      <c r="D1257" s="22"/>
      <c r="E1257" s="20"/>
      <c r="F1257" s="20"/>
      <c r="G1257" s="20"/>
      <c r="H1257" s="27"/>
    </row>
    <row r="1258" spans="3:8" x14ac:dyDescent="0.15">
      <c r="C1258" s="26"/>
      <c r="D1258" s="22"/>
      <c r="E1258" s="20"/>
      <c r="F1258" s="20"/>
      <c r="G1258" s="20"/>
      <c r="H1258" s="27"/>
    </row>
    <row r="1259" spans="3:8" x14ac:dyDescent="0.15">
      <c r="C1259" s="26"/>
      <c r="D1259" s="22"/>
      <c r="E1259" s="20"/>
      <c r="F1259" s="20"/>
      <c r="G1259" s="20"/>
      <c r="H1259" s="27"/>
    </row>
    <row r="1260" spans="3:8" x14ac:dyDescent="0.15">
      <c r="C1260" s="26"/>
      <c r="D1260" s="22"/>
      <c r="E1260" s="20"/>
      <c r="F1260" s="20"/>
      <c r="G1260" s="20"/>
      <c r="H1260" s="27"/>
    </row>
    <row r="1261" spans="3:8" x14ac:dyDescent="0.15">
      <c r="C1261" s="26"/>
      <c r="D1261" s="22"/>
      <c r="E1261" s="20"/>
      <c r="F1261" s="20"/>
      <c r="G1261" s="20"/>
      <c r="H1261" s="27"/>
    </row>
    <row r="1262" spans="3:8" x14ac:dyDescent="0.15">
      <c r="C1262" s="26"/>
      <c r="D1262" s="22"/>
      <c r="E1262" s="20"/>
      <c r="F1262" s="20"/>
      <c r="G1262" s="20"/>
      <c r="H1262" s="27"/>
    </row>
    <row r="1263" spans="3:8" x14ac:dyDescent="0.15">
      <c r="C1263" s="26"/>
      <c r="D1263" s="22"/>
      <c r="E1263" s="20"/>
      <c r="F1263" s="20"/>
      <c r="G1263" s="20"/>
      <c r="H1263" s="27"/>
    </row>
    <row r="1264" spans="3:8" x14ac:dyDescent="0.15">
      <c r="C1264" s="26"/>
      <c r="D1264" s="22"/>
      <c r="E1264" s="20"/>
      <c r="F1264" s="20"/>
      <c r="G1264" s="20"/>
      <c r="H1264" s="27"/>
    </row>
    <row r="1265" spans="3:8" x14ac:dyDescent="0.15">
      <c r="C1265" s="26"/>
      <c r="D1265" s="22"/>
      <c r="E1265" s="20"/>
      <c r="F1265" s="20"/>
      <c r="G1265" s="20"/>
      <c r="H1265" s="27"/>
    </row>
    <row r="1266" spans="3:8" x14ac:dyDescent="0.15">
      <c r="C1266" s="26"/>
      <c r="D1266" s="22"/>
      <c r="E1266" s="20"/>
      <c r="F1266" s="20"/>
      <c r="G1266" s="20"/>
      <c r="H1266" s="27"/>
    </row>
    <row r="1267" spans="3:8" x14ac:dyDescent="0.15">
      <c r="C1267" s="26"/>
      <c r="D1267" s="22"/>
      <c r="E1267" s="20"/>
      <c r="F1267" s="20"/>
      <c r="G1267" s="20"/>
      <c r="H1267" s="27"/>
    </row>
    <row r="1268" spans="3:8" x14ac:dyDescent="0.15">
      <c r="C1268" s="26"/>
      <c r="D1268" s="22"/>
      <c r="E1268" s="20"/>
      <c r="F1268" s="20"/>
      <c r="G1268" s="20"/>
      <c r="H1268" s="27"/>
    </row>
    <row r="1269" spans="3:8" x14ac:dyDescent="0.15">
      <c r="C1269" s="26"/>
      <c r="D1269" s="22"/>
      <c r="E1269" s="20"/>
      <c r="F1269" s="20"/>
      <c r="G1269" s="20"/>
      <c r="H1269" s="27"/>
    </row>
    <row r="1270" spans="3:8" x14ac:dyDescent="0.15">
      <c r="C1270" s="26"/>
      <c r="D1270" s="22"/>
      <c r="E1270" s="20"/>
      <c r="F1270" s="20"/>
      <c r="G1270" s="20"/>
      <c r="H1270" s="27"/>
    </row>
    <row r="1271" spans="3:8" x14ac:dyDescent="0.15">
      <c r="C1271" s="26"/>
      <c r="D1271" s="22"/>
      <c r="E1271" s="20"/>
      <c r="F1271" s="20"/>
      <c r="G1271" s="20"/>
      <c r="H1271" s="27"/>
    </row>
    <row r="1272" spans="3:8" x14ac:dyDescent="0.15">
      <c r="C1272" s="26"/>
      <c r="D1272" s="22"/>
      <c r="E1272" s="20"/>
      <c r="F1272" s="20"/>
      <c r="G1272" s="20"/>
      <c r="H1272" s="27"/>
    </row>
    <row r="1273" spans="3:8" x14ac:dyDescent="0.15">
      <c r="C1273" s="26"/>
      <c r="D1273" s="22"/>
      <c r="E1273" s="20"/>
      <c r="F1273" s="20"/>
      <c r="G1273" s="20"/>
      <c r="H1273" s="27"/>
    </row>
    <row r="1274" spans="3:8" x14ac:dyDescent="0.15">
      <c r="C1274" s="26"/>
      <c r="D1274" s="22"/>
      <c r="E1274" s="20"/>
      <c r="F1274" s="20"/>
      <c r="G1274" s="20"/>
      <c r="H1274" s="27"/>
    </row>
    <row r="1275" spans="3:8" x14ac:dyDescent="0.15">
      <c r="C1275" s="26"/>
      <c r="D1275" s="22"/>
      <c r="E1275" s="20"/>
      <c r="F1275" s="20"/>
      <c r="G1275" s="20"/>
      <c r="H1275" s="27"/>
    </row>
    <row r="1276" spans="3:8" x14ac:dyDescent="0.15">
      <c r="C1276" s="26"/>
      <c r="D1276" s="22"/>
      <c r="E1276" s="20"/>
      <c r="F1276" s="20"/>
      <c r="G1276" s="20"/>
      <c r="H1276" s="27"/>
    </row>
    <row r="1277" spans="3:8" x14ac:dyDescent="0.15">
      <c r="C1277" s="26"/>
      <c r="D1277" s="22"/>
      <c r="E1277" s="20"/>
      <c r="F1277" s="20"/>
      <c r="G1277" s="20"/>
      <c r="H1277" s="27"/>
    </row>
    <row r="1278" spans="3:8" x14ac:dyDescent="0.15">
      <c r="C1278" s="26"/>
      <c r="D1278" s="22"/>
      <c r="E1278" s="20"/>
      <c r="F1278" s="20"/>
      <c r="G1278" s="20"/>
      <c r="H1278" s="27"/>
    </row>
    <row r="1279" spans="3:8" x14ac:dyDescent="0.15">
      <c r="C1279" s="26"/>
      <c r="D1279" s="22"/>
      <c r="E1279" s="20"/>
      <c r="F1279" s="20"/>
      <c r="G1279" s="20"/>
      <c r="H1279" s="27"/>
    </row>
    <row r="1280" spans="3:8" x14ac:dyDescent="0.15">
      <c r="C1280" s="26"/>
      <c r="D1280" s="22"/>
      <c r="E1280" s="20"/>
      <c r="F1280" s="20"/>
      <c r="G1280" s="20"/>
      <c r="H1280" s="27"/>
    </row>
    <row r="1281" spans="3:8" x14ac:dyDescent="0.15">
      <c r="C1281" s="26"/>
      <c r="D1281" s="22"/>
      <c r="E1281" s="20"/>
      <c r="F1281" s="20"/>
      <c r="G1281" s="20"/>
      <c r="H1281" s="27"/>
    </row>
    <row r="1282" spans="3:8" x14ac:dyDescent="0.15">
      <c r="C1282" s="26"/>
      <c r="D1282" s="22"/>
      <c r="E1282" s="20"/>
      <c r="F1282" s="20"/>
      <c r="G1282" s="20"/>
      <c r="H1282" s="27"/>
    </row>
    <row r="1283" spans="3:8" x14ac:dyDescent="0.15">
      <c r="C1283" s="26"/>
      <c r="D1283" s="22"/>
      <c r="E1283" s="20"/>
      <c r="F1283" s="20"/>
      <c r="G1283" s="20"/>
      <c r="H1283" s="27"/>
    </row>
    <row r="1284" spans="3:8" x14ac:dyDescent="0.15">
      <c r="C1284" s="26"/>
      <c r="D1284" s="22"/>
      <c r="E1284" s="20"/>
      <c r="F1284" s="20"/>
      <c r="G1284" s="20"/>
      <c r="H1284" s="27"/>
    </row>
    <row r="1285" spans="3:8" x14ac:dyDescent="0.15">
      <c r="C1285" s="26"/>
      <c r="D1285" s="22"/>
      <c r="E1285" s="20"/>
      <c r="F1285" s="20"/>
      <c r="G1285" s="20"/>
      <c r="H1285" s="27"/>
    </row>
    <row r="1286" spans="3:8" x14ac:dyDescent="0.15">
      <c r="C1286" s="26"/>
      <c r="D1286" s="22"/>
      <c r="E1286" s="20"/>
      <c r="F1286" s="20"/>
      <c r="G1286" s="20"/>
      <c r="H1286" s="27"/>
    </row>
    <row r="1287" spans="3:8" x14ac:dyDescent="0.15">
      <c r="C1287" s="26"/>
      <c r="D1287" s="22"/>
      <c r="E1287" s="20"/>
      <c r="F1287" s="20"/>
      <c r="G1287" s="20"/>
      <c r="H1287" s="27"/>
    </row>
    <row r="1288" spans="3:8" x14ac:dyDescent="0.15">
      <c r="C1288" s="26"/>
      <c r="D1288" s="22"/>
      <c r="E1288" s="20"/>
      <c r="F1288" s="20"/>
      <c r="G1288" s="20"/>
      <c r="H1288" s="27"/>
    </row>
    <row r="1289" spans="3:8" x14ac:dyDescent="0.15">
      <c r="C1289" s="26"/>
      <c r="D1289" s="22"/>
      <c r="E1289" s="20"/>
      <c r="F1289" s="20"/>
      <c r="G1289" s="20"/>
      <c r="H1289" s="27"/>
    </row>
    <row r="1290" spans="3:8" x14ac:dyDescent="0.15">
      <c r="C1290" s="26"/>
      <c r="D1290" s="22"/>
      <c r="E1290" s="20"/>
      <c r="F1290" s="20"/>
      <c r="G1290" s="20"/>
      <c r="H1290" s="27"/>
    </row>
    <row r="1291" spans="3:8" x14ac:dyDescent="0.15">
      <c r="C1291" s="26"/>
      <c r="D1291" s="22"/>
      <c r="E1291" s="20"/>
      <c r="F1291" s="20"/>
      <c r="G1291" s="20"/>
      <c r="H1291" s="27"/>
    </row>
    <row r="1292" spans="3:8" x14ac:dyDescent="0.15">
      <c r="C1292" s="26"/>
      <c r="D1292" s="22"/>
      <c r="E1292" s="20"/>
      <c r="F1292" s="20"/>
      <c r="G1292" s="20"/>
      <c r="H1292" s="27"/>
    </row>
    <row r="1293" spans="3:8" x14ac:dyDescent="0.15">
      <c r="C1293" s="26"/>
      <c r="D1293" s="22"/>
      <c r="E1293" s="20"/>
      <c r="F1293" s="20"/>
      <c r="G1293" s="20"/>
      <c r="H1293" s="27"/>
    </row>
    <row r="1294" spans="3:8" x14ac:dyDescent="0.15">
      <c r="C1294" s="26"/>
      <c r="D1294" s="22"/>
      <c r="E1294" s="20"/>
      <c r="F1294" s="20"/>
      <c r="G1294" s="20"/>
      <c r="H1294" s="27"/>
    </row>
    <row r="1295" spans="3:8" x14ac:dyDescent="0.15">
      <c r="C1295" s="26"/>
      <c r="D1295" s="22"/>
      <c r="E1295" s="20"/>
      <c r="F1295" s="20"/>
      <c r="G1295" s="20"/>
      <c r="H1295" s="27"/>
    </row>
    <row r="1296" spans="3:8" x14ac:dyDescent="0.15">
      <c r="C1296" s="26"/>
      <c r="D1296" s="22"/>
      <c r="E1296" s="20"/>
      <c r="F1296" s="20"/>
      <c r="G1296" s="20"/>
      <c r="H1296" s="27"/>
    </row>
    <row r="1297" spans="3:8" x14ac:dyDescent="0.15">
      <c r="C1297" s="26"/>
      <c r="D1297" s="22"/>
      <c r="E1297" s="20"/>
      <c r="F1297" s="20"/>
      <c r="G1297" s="20"/>
      <c r="H1297" s="27"/>
    </row>
    <row r="1298" spans="3:8" x14ac:dyDescent="0.15">
      <c r="C1298" s="26"/>
      <c r="D1298" s="22"/>
      <c r="E1298" s="20"/>
      <c r="F1298" s="20"/>
      <c r="G1298" s="20"/>
      <c r="H1298" s="27"/>
    </row>
    <row r="1299" spans="3:8" x14ac:dyDescent="0.15">
      <c r="C1299" s="26"/>
      <c r="D1299" s="22"/>
      <c r="E1299" s="20"/>
      <c r="F1299" s="20"/>
      <c r="G1299" s="20"/>
      <c r="H1299" s="27"/>
    </row>
    <row r="1300" spans="3:8" x14ac:dyDescent="0.15">
      <c r="C1300" s="26"/>
      <c r="D1300" s="22"/>
      <c r="E1300" s="20"/>
      <c r="F1300" s="20"/>
      <c r="G1300" s="20"/>
      <c r="H1300" s="27"/>
    </row>
    <row r="1301" spans="3:8" x14ac:dyDescent="0.15">
      <c r="C1301" s="26"/>
      <c r="D1301" s="22"/>
      <c r="E1301" s="20"/>
      <c r="F1301" s="20"/>
      <c r="G1301" s="20"/>
      <c r="H1301" s="27"/>
    </row>
    <row r="1302" spans="3:8" x14ac:dyDescent="0.15">
      <c r="C1302" s="26"/>
      <c r="D1302" s="22"/>
      <c r="E1302" s="20"/>
      <c r="F1302" s="20"/>
      <c r="G1302" s="20"/>
      <c r="H1302" s="27"/>
    </row>
    <row r="1303" spans="3:8" x14ac:dyDescent="0.15">
      <c r="C1303" s="26"/>
      <c r="D1303" s="22"/>
      <c r="E1303" s="20"/>
      <c r="F1303" s="20"/>
      <c r="G1303" s="20"/>
      <c r="H1303" s="27"/>
    </row>
    <row r="1304" spans="3:8" x14ac:dyDescent="0.15">
      <c r="C1304" s="26"/>
      <c r="D1304" s="22"/>
      <c r="E1304" s="20"/>
      <c r="F1304" s="20"/>
      <c r="G1304" s="20"/>
      <c r="H1304" s="27"/>
    </row>
    <row r="1305" spans="3:8" x14ac:dyDescent="0.15">
      <c r="C1305" s="26"/>
      <c r="D1305" s="22"/>
      <c r="E1305" s="20"/>
      <c r="F1305" s="20"/>
      <c r="G1305" s="20"/>
      <c r="H1305" s="27"/>
    </row>
    <row r="1306" spans="3:8" x14ac:dyDescent="0.15">
      <c r="C1306" s="26"/>
      <c r="D1306" s="22"/>
      <c r="E1306" s="20"/>
      <c r="F1306" s="20"/>
      <c r="G1306" s="20"/>
      <c r="H1306" s="27"/>
    </row>
    <row r="1307" spans="3:8" x14ac:dyDescent="0.15">
      <c r="C1307" s="26"/>
      <c r="D1307" s="22"/>
      <c r="E1307" s="20"/>
      <c r="F1307" s="20"/>
      <c r="G1307" s="20"/>
      <c r="H1307" s="27"/>
    </row>
    <row r="1308" spans="3:8" x14ac:dyDescent="0.15">
      <c r="C1308" s="26"/>
      <c r="D1308" s="22"/>
      <c r="E1308" s="20"/>
      <c r="F1308" s="20"/>
      <c r="G1308" s="20"/>
      <c r="H1308" s="27"/>
    </row>
    <row r="1309" spans="3:8" x14ac:dyDescent="0.15">
      <c r="C1309" s="26"/>
      <c r="D1309" s="22"/>
      <c r="E1309" s="20"/>
      <c r="F1309" s="20"/>
      <c r="G1309" s="20"/>
      <c r="H1309" s="27"/>
    </row>
    <row r="1310" spans="3:8" x14ac:dyDescent="0.15">
      <c r="C1310" s="26"/>
      <c r="D1310" s="22"/>
      <c r="E1310" s="20"/>
      <c r="F1310" s="20"/>
      <c r="G1310" s="20"/>
      <c r="H1310" s="27"/>
    </row>
    <row r="1311" spans="3:8" x14ac:dyDescent="0.15">
      <c r="C1311" s="26"/>
      <c r="D1311" s="22"/>
      <c r="E1311" s="20"/>
      <c r="F1311" s="20"/>
      <c r="G1311" s="20"/>
      <c r="H1311" s="27"/>
    </row>
    <row r="1312" spans="3:8" x14ac:dyDescent="0.15">
      <c r="C1312" s="26"/>
      <c r="D1312" s="22"/>
      <c r="E1312" s="20"/>
      <c r="F1312" s="20"/>
      <c r="G1312" s="20"/>
      <c r="H1312" s="27"/>
    </row>
    <row r="1313" spans="3:8" x14ac:dyDescent="0.15">
      <c r="C1313" s="26"/>
      <c r="D1313" s="22"/>
      <c r="E1313" s="20"/>
      <c r="F1313" s="20"/>
      <c r="G1313" s="20"/>
      <c r="H1313" s="27"/>
    </row>
    <row r="1314" spans="3:8" x14ac:dyDescent="0.15">
      <c r="C1314" s="26"/>
      <c r="D1314" s="22"/>
      <c r="E1314" s="20"/>
      <c r="F1314" s="20"/>
      <c r="G1314" s="20"/>
      <c r="H1314" s="27"/>
    </row>
    <row r="1315" spans="3:8" x14ac:dyDescent="0.15">
      <c r="C1315" s="26"/>
      <c r="D1315" s="22"/>
      <c r="E1315" s="20"/>
      <c r="F1315" s="20"/>
      <c r="G1315" s="20"/>
      <c r="H1315" s="27"/>
    </row>
    <row r="1316" spans="3:8" x14ac:dyDescent="0.15">
      <c r="C1316" s="26"/>
      <c r="D1316" s="22"/>
      <c r="E1316" s="20"/>
      <c r="F1316" s="20"/>
      <c r="G1316" s="20"/>
      <c r="H1316" s="27"/>
    </row>
    <row r="1317" spans="3:8" x14ac:dyDescent="0.15">
      <c r="C1317" s="26"/>
      <c r="D1317" s="22"/>
      <c r="E1317" s="20"/>
      <c r="F1317" s="20"/>
      <c r="G1317" s="20"/>
      <c r="H1317" s="27"/>
    </row>
    <row r="1318" spans="3:8" x14ac:dyDescent="0.15">
      <c r="C1318" s="26"/>
      <c r="D1318" s="22"/>
      <c r="E1318" s="20"/>
      <c r="F1318" s="20"/>
      <c r="G1318" s="20"/>
      <c r="H1318" s="27"/>
    </row>
    <row r="1319" spans="3:8" x14ac:dyDescent="0.15">
      <c r="C1319" s="26"/>
      <c r="D1319" s="22"/>
      <c r="E1319" s="20"/>
      <c r="F1319" s="20"/>
      <c r="G1319" s="20"/>
      <c r="H1319" s="27"/>
    </row>
    <row r="1320" spans="3:8" x14ac:dyDescent="0.15">
      <c r="C1320" s="26"/>
      <c r="D1320" s="22"/>
      <c r="E1320" s="20"/>
      <c r="F1320" s="20"/>
      <c r="G1320" s="20"/>
      <c r="H1320" s="27"/>
    </row>
    <row r="1321" spans="3:8" x14ac:dyDescent="0.15">
      <c r="C1321" s="26"/>
      <c r="D1321" s="22"/>
      <c r="E1321" s="20"/>
      <c r="F1321" s="20"/>
      <c r="G1321" s="20"/>
      <c r="H1321" s="27"/>
    </row>
    <row r="1322" spans="3:8" x14ac:dyDescent="0.15">
      <c r="C1322" s="26"/>
      <c r="D1322" s="22"/>
      <c r="E1322" s="20"/>
      <c r="F1322" s="20"/>
      <c r="G1322" s="20"/>
      <c r="H1322" s="27"/>
    </row>
    <row r="1323" spans="3:8" x14ac:dyDescent="0.15">
      <c r="C1323" s="26"/>
      <c r="D1323" s="22"/>
      <c r="E1323" s="20"/>
      <c r="F1323" s="20"/>
      <c r="G1323" s="20"/>
      <c r="H1323" s="27"/>
    </row>
    <row r="1324" spans="3:8" x14ac:dyDescent="0.15">
      <c r="C1324" s="26"/>
      <c r="D1324" s="22"/>
      <c r="E1324" s="20"/>
      <c r="F1324" s="20"/>
      <c r="G1324" s="20"/>
      <c r="H1324" s="27"/>
    </row>
    <row r="1325" spans="3:8" x14ac:dyDescent="0.15">
      <c r="C1325" s="26"/>
      <c r="D1325" s="22"/>
      <c r="E1325" s="20"/>
      <c r="F1325" s="20"/>
      <c r="G1325" s="20"/>
      <c r="H1325" s="27"/>
    </row>
    <row r="1326" spans="3:8" x14ac:dyDescent="0.15">
      <c r="C1326" s="26"/>
      <c r="D1326" s="22"/>
      <c r="E1326" s="20"/>
      <c r="F1326" s="20"/>
      <c r="G1326" s="20"/>
      <c r="H1326" s="27"/>
    </row>
    <row r="1327" spans="3:8" x14ac:dyDescent="0.15">
      <c r="C1327" s="26"/>
      <c r="D1327" s="22"/>
      <c r="E1327" s="20"/>
      <c r="F1327" s="20"/>
      <c r="G1327" s="20"/>
      <c r="H1327" s="27"/>
    </row>
    <row r="1328" spans="3:8" x14ac:dyDescent="0.15">
      <c r="C1328" s="26"/>
      <c r="D1328" s="22"/>
      <c r="E1328" s="20"/>
      <c r="F1328" s="20"/>
      <c r="G1328" s="20"/>
      <c r="H1328" s="27"/>
    </row>
    <row r="1329" spans="3:8" x14ac:dyDescent="0.15">
      <c r="C1329" s="26"/>
      <c r="D1329" s="22"/>
      <c r="E1329" s="20"/>
      <c r="F1329" s="20"/>
      <c r="G1329" s="20"/>
      <c r="H1329" s="27"/>
    </row>
    <row r="1330" spans="3:8" x14ac:dyDescent="0.15">
      <c r="C1330" s="26"/>
      <c r="D1330" s="22"/>
      <c r="E1330" s="20"/>
      <c r="F1330" s="20"/>
      <c r="G1330" s="20"/>
      <c r="H1330" s="27"/>
    </row>
    <row r="1331" spans="3:8" x14ac:dyDescent="0.15">
      <c r="C1331" s="26"/>
      <c r="D1331" s="22"/>
      <c r="E1331" s="20"/>
      <c r="F1331" s="20"/>
      <c r="G1331" s="20"/>
      <c r="H1331" s="27"/>
    </row>
    <row r="1332" spans="3:8" x14ac:dyDescent="0.15">
      <c r="C1332" s="26"/>
      <c r="D1332" s="22"/>
      <c r="E1332" s="20"/>
      <c r="F1332" s="20"/>
      <c r="G1332" s="20"/>
      <c r="H1332" s="27"/>
    </row>
    <row r="1333" spans="3:8" x14ac:dyDescent="0.15">
      <c r="C1333" s="26"/>
      <c r="D1333" s="22"/>
      <c r="E1333" s="20"/>
      <c r="F1333" s="20"/>
      <c r="G1333" s="20"/>
      <c r="H1333" s="27"/>
    </row>
    <row r="1334" spans="3:8" x14ac:dyDescent="0.15">
      <c r="C1334" s="26"/>
      <c r="D1334" s="22"/>
      <c r="E1334" s="20"/>
      <c r="F1334" s="20"/>
      <c r="G1334" s="20"/>
      <c r="H1334" s="27"/>
    </row>
    <row r="1335" spans="3:8" x14ac:dyDescent="0.15">
      <c r="C1335" s="26"/>
      <c r="D1335" s="22"/>
      <c r="E1335" s="20"/>
      <c r="F1335" s="20"/>
      <c r="G1335" s="20"/>
      <c r="H1335" s="27"/>
    </row>
    <row r="1336" spans="3:8" x14ac:dyDescent="0.15">
      <c r="C1336" s="26"/>
      <c r="D1336" s="22"/>
      <c r="E1336" s="20"/>
      <c r="F1336" s="20"/>
      <c r="G1336" s="20"/>
      <c r="H1336" s="27"/>
    </row>
    <row r="1337" spans="3:8" x14ac:dyDescent="0.15">
      <c r="C1337" s="26"/>
      <c r="D1337" s="22"/>
      <c r="E1337" s="20"/>
      <c r="F1337" s="20"/>
      <c r="G1337" s="20"/>
      <c r="H1337" s="27"/>
    </row>
    <row r="1338" spans="3:8" x14ac:dyDescent="0.15">
      <c r="C1338" s="26"/>
      <c r="D1338" s="22"/>
      <c r="E1338" s="20"/>
      <c r="F1338" s="20"/>
      <c r="G1338" s="20"/>
      <c r="H1338" s="27"/>
    </row>
    <row r="1339" spans="3:8" x14ac:dyDescent="0.15">
      <c r="C1339" s="26"/>
      <c r="D1339" s="22"/>
      <c r="E1339" s="20"/>
      <c r="F1339" s="20"/>
      <c r="G1339" s="20"/>
      <c r="H1339" s="27"/>
    </row>
    <row r="1340" spans="3:8" x14ac:dyDescent="0.15">
      <c r="C1340" s="26"/>
      <c r="D1340" s="22"/>
      <c r="E1340" s="20"/>
      <c r="F1340" s="20"/>
      <c r="G1340" s="20"/>
      <c r="H1340" s="27"/>
    </row>
    <row r="1341" spans="3:8" x14ac:dyDescent="0.15">
      <c r="C1341" s="26"/>
      <c r="D1341" s="22"/>
      <c r="E1341" s="20"/>
      <c r="F1341" s="20"/>
      <c r="G1341" s="20"/>
      <c r="H1341" s="27"/>
    </row>
    <row r="1342" spans="3:8" x14ac:dyDescent="0.15">
      <c r="C1342" s="26"/>
      <c r="D1342" s="22"/>
      <c r="E1342" s="20"/>
      <c r="F1342" s="20"/>
      <c r="G1342" s="20"/>
      <c r="H1342" s="27"/>
    </row>
    <row r="1343" spans="3:8" x14ac:dyDescent="0.15">
      <c r="C1343" s="26"/>
      <c r="D1343" s="22"/>
      <c r="E1343" s="20"/>
      <c r="F1343" s="20"/>
      <c r="G1343" s="20"/>
      <c r="H1343" s="27"/>
    </row>
    <row r="1344" spans="3:8" x14ac:dyDescent="0.15">
      <c r="C1344" s="26"/>
      <c r="D1344" s="22"/>
      <c r="E1344" s="20"/>
      <c r="F1344" s="20"/>
      <c r="G1344" s="20"/>
      <c r="H1344" s="27"/>
    </row>
    <row r="1345" spans="3:8" x14ac:dyDescent="0.15">
      <c r="C1345" s="26"/>
      <c r="D1345" s="22"/>
      <c r="E1345" s="20"/>
      <c r="F1345" s="20"/>
      <c r="G1345" s="20"/>
      <c r="H1345" s="27"/>
    </row>
    <row r="1346" spans="3:8" x14ac:dyDescent="0.15">
      <c r="C1346" s="26"/>
      <c r="D1346" s="22"/>
      <c r="E1346" s="20"/>
      <c r="F1346" s="20"/>
      <c r="G1346" s="20"/>
      <c r="H1346" s="27"/>
    </row>
    <row r="1347" spans="3:8" x14ac:dyDescent="0.15">
      <c r="C1347" s="26"/>
      <c r="D1347" s="22"/>
      <c r="E1347" s="20"/>
      <c r="F1347" s="20"/>
      <c r="G1347" s="20"/>
      <c r="H1347" s="27"/>
    </row>
    <row r="1348" spans="3:8" x14ac:dyDescent="0.15">
      <c r="C1348" s="26"/>
      <c r="D1348" s="22"/>
      <c r="E1348" s="20"/>
      <c r="F1348" s="20"/>
      <c r="G1348" s="20"/>
      <c r="H1348" s="27"/>
    </row>
    <row r="1349" spans="3:8" x14ac:dyDescent="0.15">
      <c r="C1349" s="26"/>
      <c r="D1349" s="22"/>
      <c r="E1349" s="20"/>
      <c r="F1349" s="20"/>
      <c r="G1349" s="20"/>
      <c r="H1349" s="27"/>
    </row>
    <row r="1350" spans="3:8" x14ac:dyDescent="0.15">
      <c r="C1350" s="26"/>
      <c r="D1350" s="22"/>
      <c r="E1350" s="20"/>
      <c r="F1350" s="20"/>
      <c r="G1350" s="20"/>
      <c r="H1350" s="27"/>
    </row>
    <row r="1351" spans="3:8" x14ac:dyDescent="0.15">
      <c r="C1351" s="26"/>
      <c r="D1351" s="22"/>
      <c r="E1351" s="20"/>
      <c r="F1351" s="20"/>
      <c r="G1351" s="20"/>
      <c r="H1351" s="27"/>
    </row>
    <row r="1352" spans="3:8" x14ac:dyDescent="0.15">
      <c r="C1352" s="26"/>
      <c r="D1352" s="22"/>
      <c r="E1352" s="20"/>
      <c r="F1352" s="20"/>
      <c r="G1352" s="20"/>
      <c r="H1352" s="27"/>
    </row>
    <row r="1353" spans="3:8" x14ac:dyDescent="0.15">
      <c r="C1353" s="26"/>
      <c r="D1353" s="22"/>
      <c r="E1353" s="20"/>
      <c r="F1353" s="20"/>
      <c r="G1353" s="20"/>
      <c r="H1353" s="27"/>
    </row>
    <row r="1354" spans="3:8" x14ac:dyDescent="0.15">
      <c r="C1354" s="26"/>
      <c r="D1354" s="22"/>
      <c r="E1354" s="20"/>
      <c r="F1354" s="20"/>
      <c r="G1354" s="20"/>
      <c r="H1354" s="27"/>
    </row>
    <row r="1355" spans="3:8" x14ac:dyDescent="0.15">
      <c r="C1355" s="26"/>
      <c r="D1355" s="22"/>
      <c r="E1355" s="20"/>
      <c r="F1355" s="20"/>
      <c r="G1355" s="20"/>
      <c r="H1355" s="27"/>
    </row>
    <row r="1356" spans="3:8" x14ac:dyDescent="0.15">
      <c r="C1356" s="26"/>
      <c r="D1356" s="22"/>
      <c r="E1356" s="20"/>
      <c r="F1356" s="20"/>
      <c r="G1356" s="20"/>
      <c r="H1356" s="27"/>
    </row>
    <row r="1357" spans="3:8" x14ac:dyDescent="0.15">
      <c r="C1357" s="26"/>
      <c r="D1357" s="22"/>
      <c r="E1357" s="20"/>
      <c r="F1357" s="20"/>
      <c r="G1357" s="20"/>
      <c r="H1357" s="27"/>
    </row>
    <row r="1358" spans="3:8" x14ac:dyDescent="0.15">
      <c r="C1358" s="26"/>
      <c r="D1358" s="22"/>
      <c r="E1358" s="20"/>
      <c r="F1358" s="20"/>
      <c r="G1358" s="20"/>
      <c r="H1358" s="27"/>
    </row>
    <row r="1359" spans="3:8" x14ac:dyDescent="0.15">
      <c r="C1359" s="26"/>
      <c r="D1359" s="22"/>
      <c r="E1359" s="20"/>
      <c r="F1359" s="20"/>
      <c r="G1359" s="20"/>
      <c r="H1359" s="27"/>
    </row>
    <row r="1360" spans="3:8" x14ac:dyDescent="0.15">
      <c r="C1360" s="26"/>
      <c r="D1360" s="22"/>
      <c r="E1360" s="20"/>
      <c r="F1360" s="20"/>
      <c r="G1360" s="20"/>
      <c r="H1360" s="27"/>
    </row>
    <row r="1361" spans="3:8" x14ac:dyDescent="0.15">
      <c r="C1361" s="26"/>
      <c r="D1361" s="22"/>
      <c r="E1361" s="20"/>
      <c r="F1361" s="20"/>
      <c r="G1361" s="20"/>
      <c r="H1361" s="27"/>
    </row>
    <row r="1362" spans="3:8" x14ac:dyDescent="0.15">
      <c r="C1362" s="26"/>
      <c r="D1362" s="22"/>
      <c r="E1362" s="20"/>
      <c r="F1362" s="20"/>
      <c r="G1362" s="20"/>
      <c r="H1362" s="27"/>
    </row>
    <row r="1363" spans="3:8" x14ac:dyDescent="0.15">
      <c r="C1363" s="26"/>
      <c r="D1363" s="22"/>
      <c r="E1363" s="20"/>
      <c r="F1363" s="20"/>
      <c r="G1363" s="20"/>
      <c r="H1363" s="27"/>
    </row>
    <row r="1364" spans="3:8" x14ac:dyDescent="0.15">
      <c r="C1364" s="26"/>
      <c r="D1364" s="22"/>
      <c r="E1364" s="20"/>
      <c r="F1364" s="20"/>
      <c r="G1364" s="20"/>
      <c r="H1364" s="27"/>
    </row>
    <row r="1365" spans="3:8" x14ac:dyDescent="0.15">
      <c r="C1365" s="26"/>
      <c r="D1365" s="22"/>
      <c r="E1365" s="20"/>
      <c r="F1365" s="20"/>
      <c r="G1365" s="20"/>
      <c r="H1365" s="27"/>
    </row>
    <row r="1366" spans="3:8" x14ac:dyDescent="0.15">
      <c r="C1366" s="26"/>
      <c r="D1366" s="22"/>
      <c r="E1366" s="20"/>
      <c r="F1366" s="20"/>
      <c r="G1366" s="20"/>
      <c r="H1366" s="27"/>
    </row>
    <row r="1367" spans="3:8" x14ac:dyDescent="0.15">
      <c r="C1367" s="26"/>
      <c r="D1367" s="22"/>
      <c r="E1367" s="20"/>
      <c r="F1367" s="20"/>
      <c r="G1367" s="20"/>
      <c r="H1367" s="27"/>
    </row>
    <row r="1368" spans="3:8" x14ac:dyDescent="0.15">
      <c r="C1368" s="26"/>
      <c r="D1368" s="22"/>
      <c r="E1368" s="20"/>
      <c r="F1368" s="20"/>
      <c r="G1368" s="20"/>
      <c r="H1368" s="27"/>
    </row>
    <row r="1369" spans="3:8" x14ac:dyDescent="0.15">
      <c r="C1369" s="26"/>
      <c r="D1369" s="22"/>
      <c r="E1369" s="20"/>
      <c r="F1369" s="20"/>
      <c r="G1369" s="20"/>
      <c r="H1369" s="27"/>
    </row>
    <row r="1370" spans="3:8" x14ac:dyDescent="0.15">
      <c r="C1370" s="26"/>
      <c r="D1370" s="22"/>
      <c r="E1370" s="20"/>
      <c r="F1370" s="20"/>
      <c r="G1370" s="20"/>
      <c r="H1370" s="27"/>
    </row>
    <row r="1371" spans="3:8" x14ac:dyDescent="0.15">
      <c r="C1371" s="26"/>
      <c r="D1371" s="22"/>
      <c r="E1371" s="20"/>
      <c r="F1371" s="20"/>
      <c r="G1371" s="20"/>
      <c r="H1371" s="27"/>
    </row>
    <row r="1372" spans="3:8" x14ac:dyDescent="0.15">
      <c r="C1372" s="26"/>
      <c r="D1372" s="22"/>
      <c r="E1372" s="20"/>
      <c r="F1372" s="20"/>
      <c r="G1372" s="20"/>
      <c r="H1372" s="27"/>
    </row>
    <row r="1373" spans="3:8" x14ac:dyDescent="0.15">
      <c r="C1373" s="26"/>
      <c r="D1373" s="22"/>
      <c r="E1373" s="20"/>
      <c r="F1373" s="20"/>
      <c r="G1373" s="20"/>
      <c r="H1373" s="27"/>
    </row>
    <row r="1374" spans="3:8" x14ac:dyDescent="0.15">
      <c r="C1374" s="26"/>
      <c r="D1374" s="22"/>
      <c r="E1374" s="20"/>
      <c r="F1374" s="20"/>
      <c r="G1374" s="20"/>
      <c r="H1374" s="27"/>
    </row>
    <row r="1375" spans="3:8" x14ac:dyDescent="0.15">
      <c r="C1375" s="26"/>
      <c r="D1375" s="22"/>
      <c r="E1375" s="20"/>
      <c r="F1375" s="20"/>
      <c r="G1375" s="20"/>
      <c r="H1375" s="27"/>
    </row>
    <row r="1376" spans="3:8" x14ac:dyDescent="0.15">
      <c r="C1376" s="26"/>
      <c r="D1376" s="22"/>
      <c r="E1376" s="20"/>
      <c r="F1376" s="20"/>
      <c r="G1376" s="20"/>
      <c r="H1376" s="27"/>
    </row>
    <row r="1377" spans="3:8" x14ac:dyDescent="0.15">
      <c r="C1377" s="26"/>
      <c r="D1377" s="22"/>
      <c r="E1377" s="20"/>
      <c r="F1377" s="20"/>
      <c r="G1377" s="20"/>
      <c r="H1377" s="27"/>
    </row>
    <row r="1378" spans="3:8" x14ac:dyDescent="0.15">
      <c r="C1378" s="26"/>
      <c r="D1378" s="22"/>
      <c r="E1378" s="20"/>
      <c r="F1378" s="20"/>
      <c r="G1378" s="20"/>
      <c r="H1378" s="27"/>
    </row>
    <row r="1379" spans="3:8" x14ac:dyDescent="0.15">
      <c r="C1379" s="26"/>
      <c r="D1379" s="22"/>
      <c r="E1379" s="20"/>
      <c r="F1379" s="20"/>
      <c r="G1379" s="20"/>
      <c r="H1379" s="27"/>
    </row>
    <row r="1380" spans="3:8" x14ac:dyDescent="0.15">
      <c r="C1380" s="26"/>
      <c r="D1380" s="22"/>
      <c r="E1380" s="20"/>
      <c r="F1380" s="20"/>
      <c r="G1380" s="20"/>
      <c r="H1380" s="27"/>
    </row>
    <row r="1381" spans="3:8" x14ac:dyDescent="0.15">
      <c r="C1381" s="26"/>
      <c r="D1381" s="22"/>
      <c r="E1381" s="20"/>
      <c r="F1381" s="20"/>
      <c r="G1381" s="20"/>
      <c r="H1381" s="27"/>
    </row>
    <row r="1382" spans="3:8" x14ac:dyDescent="0.15">
      <c r="C1382" s="26"/>
      <c r="D1382" s="22"/>
      <c r="E1382" s="20"/>
      <c r="F1382" s="20"/>
      <c r="G1382" s="20"/>
      <c r="H1382" s="27"/>
    </row>
    <row r="1383" spans="3:8" x14ac:dyDescent="0.15">
      <c r="C1383" s="26"/>
      <c r="D1383" s="22"/>
      <c r="E1383" s="20"/>
      <c r="F1383" s="20"/>
      <c r="G1383" s="20"/>
      <c r="H1383" s="27"/>
    </row>
    <row r="1384" spans="3:8" x14ac:dyDescent="0.15">
      <c r="C1384" s="26"/>
      <c r="D1384" s="22"/>
      <c r="E1384" s="20"/>
      <c r="F1384" s="20"/>
      <c r="G1384" s="20"/>
      <c r="H1384" s="27"/>
    </row>
    <row r="1385" spans="3:8" x14ac:dyDescent="0.15">
      <c r="C1385" s="26"/>
      <c r="D1385" s="22"/>
      <c r="E1385" s="20"/>
      <c r="F1385" s="20"/>
      <c r="G1385" s="20"/>
      <c r="H1385" s="27"/>
    </row>
    <row r="1386" spans="3:8" x14ac:dyDescent="0.15">
      <c r="C1386" s="26"/>
      <c r="D1386" s="22"/>
      <c r="E1386" s="20"/>
      <c r="F1386" s="20"/>
      <c r="G1386" s="20"/>
      <c r="H1386" s="27"/>
    </row>
    <row r="1387" spans="3:8" x14ac:dyDescent="0.15">
      <c r="C1387" s="26"/>
      <c r="D1387" s="22"/>
      <c r="E1387" s="20"/>
      <c r="F1387" s="20"/>
      <c r="G1387" s="20"/>
      <c r="H1387" s="27"/>
    </row>
    <row r="1388" spans="3:8" x14ac:dyDescent="0.15">
      <c r="C1388" s="26"/>
      <c r="D1388" s="22"/>
      <c r="E1388" s="20"/>
      <c r="F1388" s="20"/>
      <c r="G1388" s="20"/>
      <c r="H1388" s="27"/>
    </row>
    <row r="1389" spans="3:8" x14ac:dyDescent="0.15">
      <c r="C1389" s="26"/>
      <c r="D1389" s="22"/>
      <c r="E1389" s="20"/>
      <c r="F1389" s="20"/>
      <c r="G1389" s="20"/>
      <c r="H1389" s="27"/>
    </row>
    <row r="1390" spans="3:8" x14ac:dyDescent="0.15">
      <c r="C1390" s="26"/>
      <c r="D1390" s="22"/>
      <c r="E1390" s="20"/>
      <c r="F1390" s="20"/>
      <c r="G1390" s="20"/>
      <c r="H1390" s="27"/>
    </row>
    <row r="1391" spans="3:8" x14ac:dyDescent="0.15">
      <c r="C1391" s="26"/>
      <c r="D1391" s="22"/>
      <c r="E1391" s="20"/>
      <c r="F1391" s="20"/>
      <c r="G1391" s="20"/>
      <c r="H1391" s="27"/>
    </row>
    <row r="1392" spans="3:8" x14ac:dyDescent="0.15">
      <c r="C1392" s="26"/>
      <c r="D1392" s="22"/>
      <c r="E1392" s="20"/>
      <c r="F1392" s="20"/>
      <c r="G1392" s="20"/>
      <c r="H1392" s="27"/>
    </row>
    <row r="1393" spans="3:8" x14ac:dyDescent="0.15">
      <c r="C1393" s="26"/>
      <c r="D1393" s="22"/>
      <c r="E1393" s="20"/>
      <c r="F1393" s="20"/>
      <c r="G1393" s="20"/>
      <c r="H1393" s="27"/>
    </row>
    <row r="1394" spans="3:8" x14ac:dyDescent="0.15">
      <c r="C1394" s="26"/>
      <c r="D1394" s="22"/>
      <c r="E1394" s="20"/>
      <c r="F1394" s="20"/>
      <c r="G1394" s="20"/>
      <c r="H1394" s="27"/>
    </row>
    <row r="1395" spans="3:8" x14ac:dyDescent="0.15">
      <c r="C1395" s="26"/>
      <c r="D1395" s="22"/>
      <c r="E1395" s="20"/>
      <c r="F1395" s="20"/>
      <c r="G1395" s="20"/>
      <c r="H1395" s="27"/>
    </row>
    <row r="1396" spans="3:8" x14ac:dyDescent="0.15">
      <c r="C1396" s="26"/>
      <c r="D1396" s="22"/>
      <c r="E1396" s="20"/>
      <c r="F1396" s="20"/>
      <c r="G1396" s="20"/>
      <c r="H1396" s="27"/>
    </row>
    <row r="1397" spans="3:8" x14ac:dyDescent="0.15">
      <c r="C1397" s="26"/>
      <c r="D1397" s="22"/>
      <c r="E1397" s="20"/>
      <c r="F1397" s="20"/>
      <c r="G1397" s="20"/>
      <c r="H1397" s="27"/>
    </row>
    <row r="1398" spans="3:8" x14ac:dyDescent="0.15">
      <c r="C1398" s="26"/>
      <c r="D1398" s="22"/>
      <c r="E1398" s="20"/>
      <c r="F1398" s="20"/>
      <c r="G1398" s="20"/>
      <c r="H1398" s="27"/>
    </row>
    <row r="1399" spans="3:8" x14ac:dyDescent="0.15">
      <c r="C1399" s="26"/>
      <c r="D1399" s="22"/>
      <c r="E1399" s="20"/>
      <c r="F1399" s="20"/>
      <c r="G1399" s="20"/>
      <c r="H1399" s="27"/>
    </row>
    <row r="1400" spans="3:8" x14ac:dyDescent="0.15">
      <c r="C1400" s="26"/>
      <c r="D1400" s="22"/>
      <c r="E1400" s="20"/>
      <c r="F1400" s="20"/>
      <c r="G1400" s="20"/>
      <c r="H1400" s="27"/>
    </row>
    <row r="1401" spans="3:8" x14ac:dyDescent="0.15">
      <c r="C1401" s="26"/>
      <c r="D1401" s="22"/>
      <c r="E1401" s="20"/>
      <c r="F1401" s="20"/>
      <c r="G1401" s="20"/>
      <c r="H1401" s="27"/>
    </row>
    <row r="1402" spans="3:8" x14ac:dyDescent="0.15">
      <c r="C1402" s="26"/>
      <c r="D1402" s="22"/>
      <c r="E1402" s="20"/>
      <c r="F1402" s="20"/>
      <c r="G1402" s="20"/>
      <c r="H1402" s="27"/>
    </row>
    <row r="1403" spans="3:8" x14ac:dyDescent="0.15">
      <c r="C1403" s="26"/>
      <c r="D1403" s="22"/>
      <c r="E1403" s="20"/>
      <c r="F1403" s="20"/>
      <c r="G1403" s="20"/>
      <c r="H1403" s="27"/>
    </row>
    <row r="1404" spans="3:8" x14ac:dyDescent="0.15">
      <c r="C1404" s="26"/>
      <c r="D1404" s="22"/>
      <c r="E1404" s="20"/>
      <c r="F1404" s="20"/>
      <c r="G1404" s="20"/>
      <c r="H1404" s="27"/>
    </row>
    <row r="1405" spans="3:8" x14ac:dyDescent="0.15">
      <c r="C1405" s="26"/>
      <c r="D1405" s="22"/>
      <c r="E1405" s="20"/>
      <c r="F1405" s="20"/>
      <c r="G1405" s="20"/>
      <c r="H1405" s="27"/>
    </row>
    <row r="1406" spans="3:8" x14ac:dyDescent="0.15">
      <c r="C1406" s="26"/>
      <c r="D1406" s="22"/>
      <c r="E1406" s="20"/>
      <c r="F1406" s="20"/>
      <c r="G1406" s="20"/>
      <c r="H1406" s="27"/>
    </row>
    <row r="1407" spans="3:8" x14ac:dyDescent="0.15">
      <c r="C1407" s="26"/>
      <c r="D1407" s="22"/>
      <c r="E1407" s="20"/>
      <c r="F1407" s="20"/>
      <c r="G1407" s="20"/>
      <c r="H1407" s="27"/>
    </row>
    <row r="1408" spans="3:8" x14ac:dyDescent="0.15">
      <c r="C1408" s="26"/>
      <c r="D1408" s="22"/>
      <c r="E1408" s="20"/>
      <c r="F1408" s="20"/>
      <c r="G1408" s="20"/>
      <c r="H1408" s="27"/>
    </row>
    <row r="1409" spans="3:8" x14ac:dyDescent="0.15">
      <c r="C1409" s="26"/>
      <c r="D1409" s="22"/>
      <c r="E1409" s="20"/>
      <c r="F1409" s="20"/>
      <c r="G1409" s="20"/>
      <c r="H1409" s="27"/>
    </row>
    <row r="1410" spans="3:8" x14ac:dyDescent="0.15">
      <c r="C1410" s="26"/>
      <c r="D1410" s="22"/>
      <c r="E1410" s="20"/>
      <c r="F1410" s="20"/>
      <c r="G1410" s="20"/>
      <c r="H1410" s="27"/>
    </row>
    <row r="1411" spans="3:8" x14ac:dyDescent="0.15">
      <c r="C1411" s="26"/>
      <c r="D1411" s="22"/>
      <c r="E1411" s="20"/>
      <c r="F1411" s="20"/>
      <c r="G1411" s="20"/>
      <c r="H1411" s="27"/>
    </row>
    <row r="1412" spans="3:8" x14ac:dyDescent="0.15">
      <c r="C1412" s="26"/>
      <c r="D1412" s="22"/>
      <c r="E1412" s="20"/>
      <c r="F1412" s="20"/>
      <c r="G1412" s="20"/>
      <c r="H1412" s="27"/>
    </row>
    <row r="1413" spans="3:8" x14ac:dyDescent="0.15">
      <c r="C1413" s="26"/>
      <c r="D1413" s="22"/>
      <c r="E1413" s="20"/>
      <c r="F1413" s="20"/>
      <c r="G1413" s="20"/>
      <c r="H1413" s="27"/>
    </row>
    <row r="1414" spans="3:8" x14ac:dyDescent="0.15">
      <c r="C1414" s="26"/>
      <c r="D1414" s="22"/>
      <c r="E1414" s="20"/>
      <c r="F1414" s="20"/>
      <c r="G1414" s="20"/>
      <c r="H1414" s="27"/>
    </row>
    <row r="1415" spans="3:8" x14ac:dyDescent="0.15">
      <c r="C1415" s="26"/>
      <c r="D1415" s="22"/>
      <c r="E1415" s="20"/>
      <c r="F1415" s="20"/>
      <c r="G1415" s="20"/>
      <c r="H1415" s="27"/>
    </row>
    <row r="1416" spans="3:8" x14ac:dyDescent="0.15">
      <c r="C1416" s="26"/>
      <c r="D1416" s="22"/>
      <c r="E1416" s="20"/>
      <c r="F1416" s="20"/>
      <c r="G1416" s="20"/>
      <c r="H1416" s="27"/>
    </row>
    <row r="1417" spans="3:8" x14ac:dyDescent="0.15">
      <c r="C1417" s="26"/>
      <c r="D1417" s="22"/>
      <c r="E1417" s="20"/>
      <c r="F1417" s="20"/>
      <c r="G1417" s="20"/>
      <c r="H1417" s="27"/>
    </row>
    <row r="1418" spans="3:8" x14ac:dyDescent="0.15">
      <c r="C1418" s="26"/>
      <c r="D1418" s="22"/>
      <c r="E1418" s="20"/>
      <c r="F1418" s="20"/>
      <c r="G1418" s="20"/>
      <c r="H1418" s="27"/>
    </row>
    <row r="1419" spans="3:8" x14ac:dyDescent="0.15">
      <c r="C1419" s="26"/>
      <c r="D1419" s="22"/>
      <c r="E1419" s="20"/>
      <c r="F1419" s="20"/>
      <c r="G1419" s="20"/>
      <c r="H1419" s="27"/>
    </row>
    <row r="1420" spans="3:8" x14ac:dyDescent="0.15">
      <c r="C1420" s="26"/>
      <c r="D1420" s="22"/>
      <c r="E1420" s="20"/>
      <c r="F1420" s="20"/>
      <c r="G1420" s="20"/>
      <c r="H1420" s="27"/>
    </row>
    <row r="1421" spans="3:8" x14ac:dyDescent="0.15">
      <c r="C1421" s="26"/>
      <c r="D1421" s="22"/>
      <c r="E1421" s="20"/>
      <c r="F1421" s="20"/>
      <c r="G1421" s="20"/>
      <c r="H1421" s="27"/>
    </row>
    <row r="1422" spans="3:8" x14ac:dyDescent="0.15">
      <c r="C1422" s="26"/>
      <c r="D1422" s="22"/>
      <c r="E1422" s="20"/>
      <c r="F1422" s="20"/>
      <c r="G1422" s="20"/>
      <c r="H1422" s="27"/>
    </row>
    <row r="1423" spans="3:8" x14ac:dyDescent="0.15">
      <c r="C1423" s="26"/>
      <c r="D1423" s="22"/>
      <c r="E1423" s="20"/>
      <c r="F1423" s="20"/>
      <c r="G1423" s="20"/>
      <c r="H1423" s="27"/>
    </row>
    <row r="1424" spans="3:8" x14ac:dyDescent="0.15">
      <c r="C1424" s="26"/>
      <c r="D1424" s="22"/>
      <c r="E1424" s="20"/>
      <c r="F1424" s="20"/>
      <c r="G1424" s="20"/>
      <c r="H1424" s="27"/>
    </row>
    <row r="1425" spans="3:8" x14ac:dyDescent="0.15">
      <c r="C1425" s="26"/>
      <c r="D1425" s="22"/>
      <c r="E1425" s="20"/>
      <c r="F1425" s="20"/>
      <c r="G1425" s="20"/>
      <c r="H1425" s="27"/>
    </row>
    <row r="1426" spans="3:8" x14ac:dyDescent="0.15">
      <c r="C1426" s="26"/>
      <c r="D1426" s="22"/>
      <c r="E1426" s="20"/>
      <c r="F1426" s="20"/>
      <c r="G1426" s="20"/>
      <c r="H1426" s="27"/>
    </row>
    <row r="1427" spans="3:8" x14ac:dyDescent="0.15">
      <c r="C1427" s="26"/>
      <c r="D1427" s="22"/>
      <c r="E1427" s="20"/>
      <c r="F1427" s="20"/>
      <c r="G1427" s="20"/>
      <c r="H1427" s="27"/>
    </row>
    <row r="1428" spans="3:8" x14ac:dyDescent="0.15">
      <c r="C1428" s="26"/>
      <c r="D1428" s="22"/>
      <c r="E1428" s="20"/>
      <c r="F1428" s="20"/>
      <c r="G1428" s="20"/>
      <c r="H1428" s="27"/>
    </row>
    <row r="1429" spans="3:8" x14ac:dyDescent="0.15">
      <c r="C1429" s="26"/>
      <c r="D1429" s="22"/>
      <c r="E1429" s="20"/>
      <c r="F1429" s="20"/>
      <c r="G1429" s="20"/>
      <c r="H1429" s="27"/>
    </row>
    <row r="1430" spans="3:8" x14ac:dyDescent="0.15">
      <c r="C1430" s="26"/>
      <c r="D1430" s="22"/>
      <c r="E1430" s="20"/>
      <c r="F1430" s="20"/>
      <c r="G1430" s="20"/>
      <c r="H1430" s="27"/>
    </row>
    <row r="1431" spans="3:8" x14ac:dyDescent="0.15">
      <c r="C1431" s="26"/>
      <c r="D1431" s="22"/>
      <c r="E1431" s="20"/>
      <c r="F1431" s="20"/>
      <c r="G1431" s="20"/>
      <c r="H1431" s="27"/>
    </row>
    <row r="1432" spans="3:8" x14ac:dyDescent="0.15">
      <c r="C1432" s="26"/>
      <c r="D1432" s="22"/>
      <c r="E1432" s="20"/>
      <c r="F1432" s="20"/>
      <c r="G1432" s="20"/>
      <c r="H1432" s="27"/>
    </row>
    <row r="1433" spans="3:8" x14ac:dyDescent="0.15">
      <c r="C1433" s="26"/>
      <c r="D1433" s="22"/>
      <c r="E1433" s="20"/>
      <c r="F1433" s="20"/>
      <c r="G1433" s="20"/>
      <c r="H1433" s="27"/>
    </row>
    <row r="1434" spans="3:8" x14ac:dyDescent="0.15">
      <c r="C1434" s="26"/>
      <c r="D1434" s="22"/>
      <c r="E1434" s="20"/>
      <c r="F1434" s="20"/>
      <c r="G1434" s="20"/>
      <c r="H1434" s="27"/>
    </row>
    <row r="1435" spans="3:8" x14ac:dyDescent="0.15">
      <c r="C1435" s="26"/>
      <c r="D1435" s="22"/>
      <c r="E1435" s="20"/>
      <c r="F1435" s="20"/>
      <c r="G1435" s="20"/>
      <c r="H1435" s="27"/>
    </row>
    <row r="1436" spans="3:8" x14ac:dyDescent="0.15">
      <c r="C1436" s="26"/>
      <c r="D1436" s="22"/>
      <c r="E1436" s="20"/>
      <c r="F1436" s="20"/>
      <c r="G1436" s="20"/>
      <c r="H1436" s="27"/>
    </row>
    <row r="1437" spans="3:8" x14ac:dyDescent="0.15">
      <c r="C1437" s="26"/>
      <c r="D1437" s="22"/>
      <c r="E1437" s="20"/>
      <c r="F1437" s="20"/>
      <c r="G1437" s="20"/>
      <c r="H1437" s="27"/>
    </row>
    <row r="1438" spans="3:8" x14ac:dyDescent="0.15">
      <c r="C1438" s="26"/>
      <c r="D1438" s="22"/>
      <c r="E1438" s="20"/>
      <c r="F1438" s="20"/>
      <c r="G1438" s="20"/>
      <c r="H1438" s="27"/>
    </row>
    <row r="1439" spans="3:8" x14ac:dyDescent="0.15">
      <c r="C1439" s="26"/>
      <c r="D1439" s="22"/>
      <c r="E1439" s="20"/>
      <c r="F1439" s="20"/>
      <c r="G1439" s="20"/>
      <c r="H1439" s="27"/>
    </row>
    <row r="1440" spans="3:8" x14ac:dyDescent="0.15">
      <c r="C1440" s="26"/>
      <c r="D1440" s="22"/>
      <c r="E1440" s="20"/>
      <c r="F1440" s="20"/>
      <c r="G1440" s="20"/>
      <c r="H1440" s="27"/>
    </row>
    <row r="1441" spans="3:8" x14ac:dyDescent="0.15">
      <c r="C1441" s="26"/>
      <c r="D1441" s="22"/>
      <c r="E1441" s="20"/>
      <c r="F1441" s="20"/>
      <c r="G1441" s="20"/>
      <c r="H1441" s="27"/>
    </row>
    <row r="1442" spans="3:8" x14ac:dyDescent="0.15">
      <c r="C1442" s="26"/>
      <c r="D1442" s="22"/>
      <c r="E1442" s="20"/>
      <c r="F1442" s="20"/>
      <c r="G1442" s="20"/>
      <c r="H1442" s="27"/>
    </row>
    <row r="1443" spans="3:8" x14ac:dyDescent="0.15">
      <c r="C1443" s="26"/>
      <c r="D1443" s="22"/>
      <c r="E1443" s="20"/>
      <c r="F1443" s="20"/>
      <c r="G1443" s="20"/>
      <c r="H1443" s="27"/>
    </row>
    <row r="1444" spans="3:8" x14ac:dyDescent="0.15">
      <c r="C1444" s="26"/>
      <c r="D1444" s="22"/>
      <c r="E1444" s="20"/>
      <c r="F1444" s="20"/>
      <c r="G1444" s="20"/>
      <c r="H1444" s="27"/>
    </row>
    <row r="1445" spans="3:8" x14ac:dyDescent="0.15">
      <c r="C1445" s="26"/>
      <c r="D1445" s="22"/>
      <c r="E1445" s="20"/>
      <c r="F1445" s="20"/>
      <c r="G1445" s="20"/>
      <c r="H1445" s="27"/>
    </row>
    <row r="1446" spans="3:8" x14ac:dyDescent="0.15">
      <c r="C1446" s="26"/>
      <c r="D1446" s="22"/>
      <c r="E1446" s="20"/>
      <c r="F1446" s="20"/>
      <c r="G1446" s="20"/>
      <c r="H1446" s="27"/>
    </row>
    <row r="1447" spans="3:8" x14ac:dyDescent="0.15">
      <c r="C1447" s="26"/>
      <c r="D1447" s="22"/>
      <c r="E1447" s="20"/>
      <c r="F1447" s="20"/>
      <c r="G1447" s="20"/>
      <c r="H1447" s="27"/>
    </row>
    <row r="1448" spans="3:8" x14ac:dyDescent="0.15">
      <c r="C1448" s="26"/>
      <c r="D1448" s="22"/>
      <c r="E1448" s="20"/>
      <c r="F1448" s="20"/>
      <c r="G1448" s="20"/>
      <c r="H1448" s="27"/>
    </row>
    <row r="1449" spans="3:8" x14ac:dyDescent="0.15">
      <c r="C1449" s="26"/>
      <c r="D1449" s="22"/>
      <c r="E1449" s="20"/>
      <c r="F1449" s="20"/>
      <c r="G1449" s="20"/>
      <c r="H1449" s="27"/>
    </row>
    <row r="1450" spans="3:8" x14ac:dyDescent="0.15">
      <c r="C1450" s="26"/>
      <c r="D1450" s="22"/>
      <c r="E1450" s="20"/>
      <c r="F1450" s="20"/>
      <c r="G1450" s="20"/>
      <c r="H1450" s="27"/>
    </row>
    <row r="1451" spans="3:8" x14ac:dyDescent="0.15">
      <c r="C1451" s="26"/>
      <c r="D1451" s="22"/>
      <c r="E1451" s="20"/>
      <c r="F1451" s="20"/>
      <c r="G1451" s="20"/>
      <c r="H1451" s="27"/>
    </row>
    <row r="1452" spans="3:8" x14ac:dyDescent="0.15">
      <c r="C1452" s="26"/>
      <c r="D1452" s="22"/>
      <c r="E1452" s="20"/>
      <c r="F1452" s="20"/>
      <c r="G1452" s="20"/>
      <c r="H1452" s="27"/>
    </row>
    <row r="1453" spans="3:8" x14ac:dyDescent="0.15">
      <c r="C1453" s="26"/>
      <c r="D1453" s="22"/>
      <c r="E1453" s="20"/>
      <c r="F1453" s="20"/>
      <c r="G1453" s="20"/>
      <c r="H1453" s="27"/>
    </row>
    <row r="1454" spans="3:8" x14ac:dyDescent="0.15">
      <c r="C1454" s="26"/>
      <c r="D1454" s="22"/>
      <c r="E1454" s="20"/>
      <c r="F1454" s="20"/>
      <c r="G1454" s="20"/>
      <c r="H1454" s="27"/>
    </row>
    <row r="1455" spans="3:8" x14ac:dyDescent="0.15">
      <c r="C1455" s="26"/>
      <c r="D1455" s="22"/>
      <c r="E1455" s="20"/>
      <c r="F1455" s="20"/>
      <c r="G1455" s="20"/>
      <c r="H1455" s="27"/>
    </row>
    <row r="1456" spans="3:8" x14ac:dyDescent="0.15">
      <c r="C1456" s="26"/>
      <c r="D1456" s="22"/>
      <c r="E1456" s="20"/>
      <c r="F1456" s="20"/>
      <c r="G1456" s="20"/>
      <c r="H1456" s="27"/>
    </row>
    <row r="1457" spans="3:8" x14ac:dyDescent="0.15">
      <c r="C1457" s="26"/>
      <c r="D1457" s="22"/>
      <c r="E1457" s="20"/>
      <c r="F1457" s="20"/>
      <c r="G1457" s="20"/>
      <c r="H1457" s="27"/>
    </row>
    <row r="1458" spans="3:8" x14ac:dyDescent="0.15">
      <c r="C1458" s="26"/>
      <c r="D1458" s="22"/>
      <c r="E1458" s="20"/>
      <c r="F1458" s="20"/>
      <c r="G1458" s="20"/>
      <c r="H1458" s="27"/>
    </row>
    <row r="1459" spans="3:8" x14ac:dyDescent="0.15">
      <c r="C1459" s="26"/>
      <c r="D1459" s="22"/>
      <c r="E1459" s="20"/>
      <c r="F1459" s="20"/>
      <c r="G1459" s="20"/>
      <c r="H1459" s="27"/>
    </row>
    <row r="1460" spans="3:8" x14ac:dyDescent="0.15">
      <c r="C1460" s="26"/>
      <c r="D1460" s="22"/>
      <c r="E1460" s="20"/>
      <c r="F1460" s="20"/>
      <c r="G1460" s="20"/>
      <c r="H1460" s="27"/>
    </row>
    <row r="1461" spans="3:8" x14ac:dyDescent="0.15">
      <c r="C1461" s="26"/>
      <c r="D1461" s="22"/>
      <c r="E1461" s="20"/>
      <c r="F1461" s="20"/>
      <c r="G1461" s="20"/>
      <c r="H1461" s="27"/>
    </row>
    <row r="1462" spans="3:8" x14ac:dyDescent="0.15">
      <c r="C1462" s="26"/>
      <c r="D1462" s="22"/>
      <c r="E1462" s="20"/>
      <c r="F1462" s="20"/>
      <c r="G1462" s="20"/>
      <c r="H1462" s="27"/>
    </row>
    <row r="1463" spans="3:8" x14ac:dyDescent="0.15">
      <c r="C1463" s="26"/>
      <c r="D1463" s="22"/>
      <c r="E1463" s="20"/>
      <c r="F1463" s="20"/>
      <c r="G1463" s="20"/>
      <c r="H1463" s="27"/>
    </row>
    <row r="1464" spans="3:8" x14ac:dyDescent="0.15">
      <c r="C1464" s="26"/>
      <c r="D1464" s="22"/>
      <c r="E1464" s="20"/>
      <c r="F1464" s="20"/>
      <c r="G1464" s="20"/>
      <c r="H1464" s="27"/>
    </row>
    <row r="1465" spans="3:8" x14ac:dyDescent="0.15">
      <c r="C1465" s="26"/>
      <c r="D1465" s="22"/>
      <c r="E1465" s="20"/>
      <c r="F1465" s="20"/>
      <c r="G1465" s="20"/>
      <c r="H1465" s="27"/>
    </row>
    <row r="1466" spans="3:8" x14ac:dyDescent="0.15">
      <c r="C1466" s="26"/>
      <c r="D1466" s="22"/>
      <c r="E1466" s="20"/>
      <c r="F1466" s="20"/>
      <c r="G1466" s="20"/>
      <c r="H1466" s="27"/>
    </row>
    <row r="1467" spans="3:8" x14ac:dyDescent="0.15">
      <c r="C1467" s="26"/>
      <c r="D1467" s="22"/>
      <c r="E1467" s="20"/>
      <c r="F1467" s="20"/>
      <c r="G1467" s="20"/>
      <c r="H1467" s="27"/>
    </row>
    <row r="1468" spans="3:8" x14ac:dyDescent="0.15">
      <c r="C1468" s="26"/>
      <c r="D1468" s="22"/>
      <c r="E1468" s="20"/>
      <c r="F1468" s="20"/>
      <c r="G1468" s="20"/>
      <c r="H1468" s="27"/>
    </row>
    <row r="1469" spans="3:8" x14ac:dyDescent="0.15">
      <c r="C1469" s="26"/>
      <c r="D1469" s="22"/>
      <c r="E1469" s="20"/>
      <c r="F1469" s="20"/>
      <c r="G1469" s="20"/>
      <c r="H1469" s="27"/>
    </row>
    <row r="1470" spans="3:8" x14ac:dyDescent="0.15">
      <c r="C1470" s="26"/>
      <c r="D1470" s="22"/>
      <c r="E1470" s="20"/>
      <c r="F1470" s="20"/>
      <c r="G1470" s="20"/>
      <c r="H1470" s="27"/>
    </row>
    <row r="1471" spans="3:8" x14ac:dyDescent="0.15">
      <c r="C1471" s="26"/>
      <c r="D1471" s="22"/>
      <c r="E1471" s="20"/>
      <c r="F1471" s="20"/>
      <c r="G1471" s="20"/>
      <c r="H1471" s="27"/>
    </row>
    <row r="1472" spans="3:8" x14ac:dyDescent="0.15">
      <c r="C1472" s="26"/>
      <c r="D1472" s="22"/>
      <c r="E1472" s="20"/>
      <c r="F1472" s="20"/>
      <c r="G1472" s="20"/>
      <c r="H1472" s="27"/>
    </row>
    <row r="1473" spans="3:8" x14ac:dyDescent="0.15">
      <c r="C1473" s="26"/>
      <c r="D1473" s="22"/>
      <c r="E1473" s="20"/>
      <c r="F1473" s="20"/>
      <c r="G1473" s="20"/>
      <c r="H1473" s="27"/>
    </row>
    <row r="1474" spans="3:8" x14ac:dyDescent="0.15">
      <c r="C1474" s="26"/>
      <c r="D1474" s="22"/>
      <c r="E1474" s="20"/>
      <c r="F1474" s="20"/>
      <c r="G1474" s="20"/>
      <c r="H1474" s="27"/>
    </row>
    <row r="1475" spans="3:8" x14ac:dyDescent="0.15">
      <c r="C1475" s="26"/>
      <c r="D1475" s="22"/>
      <c r="E1475" s="20"/>
      <c r="F1475" s="20"/>
      <c r="G1475" s="20"/>
      <c r="H1475" s="27"/>
    </row>
    <row r="1476" spans="3:8" x14ac:dyDescent="0.15">
      <c r="C1476" s="26"/>
      <c r="D1476" s="22"/>
      <c r="E1476" s="20"/>
      <c r="F1476" s="20"/>
      <c r="G1476" s="20"/>
      <c r="H1476" s="27"/>
    </row>
    <row r="1477" spans="3:8" x14ac:dyDescent="0.15">
      <c r="C1477" s="26"/>
      <c r="D1477" s="22"/>
      <c r="E1477" s="20"/>
      <c r="F1477" s="20"/>
      <c r="G1477" s="20"/>
      <c r="H1477" s="27"/>
    </row>
    <row r="1478" spans="3:8" x14ac:dyDescent="0.15">
      <c r="C1478" s="26"/>
      <c r="D1478" s="22"/>
      <c r="E1478" s="20"/>
      <c r="F1478" s="20"/>
      <c r="G1478" s="20"/>
      <c r="H1478" s="27"/>
    </row>
    <row r="1479" spans="3:8" x14ac:dyDescent="0.15">
      <c r="C1479" s="26"/>
      <c r="D1479" s="22"/>
      <c r="E1479" s="20"/>
      <c r="F1479" s="20"/>
      <c r="G1479" s="20"/>
      <c r="H1479" s="27"/>
    </row>
    <row r="1480" spans="3:8" x14ac:dyDescent="0.15">
      <c r="C1480" s="26"/>
      <c r="D1480" s="22"/>
      <c r="E1480" s="20"/>
      <c r="F1480" s="20"/>
      <c r="G1480" s="20"/>
      <c r="H1480" s="27"/>
    </row>
    <row r="1481" spans="3:8" x14ac:dyDescent="0.15">
      <c r="C1481" s="26"/>
      <c r="D1481" s="22"/>
      <c r="E1481" s="20"/>
      <c r="F1481" s="20"/>
      <c r="G1481" s="20"/>
      <c r="H1481" s="27"/>
    </row>
    <row r="1482" spans="3:8" x14ac:dyDescent="0.15">
      <c r="C1482" s="26"/>
      <c r="D1482" s="22"/>
      <c r="E1482" s="20"/>
      <c r="F1482" s="20"/>
      <c r="G1482" s="20"/>
      <c r="H1482" s="27"/>
    </row>
    <row r="1483" spans="3:8" x14ac:dyDescent="0.15">
      <c r="C1483" s="26"/>
      <c r="D1483" s="22"/>
      <c r="E1483" s="20"/>
      <c r="F1483" s="20"/>
      <c r="G1483" s="20"/>
      <c r="H1483" s="27"/>
    </row>
    <row r="1484" spans="3:8" x14ac:dyDescent="0.15">
      <c r="C1484" s="26"/>
      <c r="D1484" s="22"/>
      <c r="E1484" s="20"/>
      <c r="F1484" s="20"/>
      <c r="G1484" s="20"/>
      <c r="H1484" s="27"/>
    </row>
    <row r="1485" spans="3:8" x14ac:dyDescent="0.15">
      <c r="C1485" s="26"/>
      <c r="D1485" s="22"/>
      <c r="E1485" s="20"/>
      <c r="F1485" s="20"/>
      <c r="G1485" s="20"/>
      <c r="H1485" s="27"/>
    </row>
    <row r="1486" spans="3:8" x14ac:dyDescent="0.15">
      <c r="C1486" s="26"/>
      <c r="D1486" s="22"/>
      <c r="E1486" s="20"/>
      <c r="F1486" s="20"/>
      <c r="G1486" s="20"/>
      <c r="H1486" s="27"/>
    </row>
    <row r="1487" spans="3:8" x14ac:dyDescent="0.15">
      <c r="C1487" s="26"/>
      <c r="D1487" s="22"/>
      <c r="E1487" s="20"/>
      <c r="F1487" s="20"/>
      <c r="G1487" s="20"/>
      <c r="H1487" s="27"/>
    </row>
    <row r="1488" spans="3:8" x14ac:dyDescent="0.15">
      <c r="C1488" s="26"/>
      <c r="D1488" s="22"/>
      <c r="E1488" s="20"/>
      <c r="F1488" s="20"/>
      <c r="G1488" s="20"/>
      <c r="H1488" s="27"/>
    </row>
    <row r="1489" spans="3:8" x14ac:dyDescent="0.15">
      <c r="C1489" s="26"/>
      <c r="D1489" s="22"/>
      <c r="E1489" s="20"/>
      <c r="F1489" s="20"/>
      <c r="G1489" s="20"/>
      <c r="H1489" s="27"/>
    </row>
    <row r="1490" spans="3:8" x14ac:dyDescent="0.15">
      <c r="C1490" s="26"/>
      <c r="D1490" s="22"/>
      <c r="E1490" s="20"/>
      <c r="F1490" s="20"/>
      <c r="G1490" s="20"/>
      <c r="H1490" s="27"/>
    </row>
    <row r="1491" spans="3:8" x14ac:dyDescent="0.15">
      <c r="C1491" s="26"/>
      <c r="D1491" s="22"/>
      <c r="E1491" s="20"/>
      <c r="F1491" s="20"/>
      <c r="G1491" s="20"/>
      <c r="H1491" s="27"/>
    </row>
    <row r="1492" spans="3:8" x14ac:dyDescent="0.15">
      <c r="C1492" s="26"/>
      <c r="D1492" s="22"/>
      <c r="E1492" s="20"/>
      <c r="F1492" s="20"/>
      <c r="G1492" s="20"/>
      <c r="H1492" s="27"/>
    </row>
    <row r="1493" spans="3:8" x14ac:dyDescent="0.15">
      <c r="C1493" s="26"/>
      <c r="D1493" s="22"/>
      <c r="E1493" s="20"/>
      <c r="F1493" s="20"/>
      <c r="G1493" s="20"/>
      <c r="H1493" s="27"/>
    </row>
    <row r="1494" spans="3:8" x14ac:dyDescent="0.15">
      <c r="C1494" s="26"/>
      <c r="D1494" s="22"/>
      <c r="E1494" s="20"/>
      <c r="F1494" s="20"/>
      <c r="G1494" s="20"/>
      <c r="H1494" s="27"/>
    </row>
    <row r="1495" spans="3:8" x14ac:dyDescent="0.15">
      <c r="C1495" s="26"/>
      <c r="D1495" s="22"/>
      <c r="E1495" s="20"/>
      <c r="F1495" s="20"/>
      <c r="G1495" s="20"/>
      <c r="H1495" s="27"/>
    </row>
    <row r="1496" spans="3:8" x14ac:dyDescent="0.15">
      <c r="C1496" s="26"/>
      <c r="D1496" s="22"/>
      <c r="E1496" s="20"/>
      <c r="F1496" s="20"/>
      <c r="G1496" s="20"/>
      <c r="H1496" s="27"/>
    </row>
    <row r="1497" spans="3:8" x14ac:dyDescent="0.15">
      <c r="C1497" s="26"/>
      <c r="D1497" s="22"/>
      <c r="E1497" s="20"/>
      <c r="F1497" s="20"/>
      <c r="G1497" s="20"/>
      <c r="H1497" s="27"/>
    </row>
    <row r="1498" spans="3:8" x14ac:dyDescent="0.15">
      <c r="C1498" s="26"/>
      <c r="D1498" s="22"/>
      <c r="E1498" s="20"/>
      <c r="F1498" s="20"/>
      <c r="G1498" s="20"/>
      <c r="H1498" s="27"/>
    </row>
    <row r="1499" spans="3:8" x14ac:dyDescent="0.15">
      <c r="C1499" s="26"/>
      <c r="D1499" s="22"/>
      <c r="E1499" s="20"/>
      <c r="F1499" s="20"/>
      <c r="G1499" s="20"/>
      <c r="H1499" s="27"/>
    </row>
    <row r="1500" spans="3:8" x14ac:dyDescent="0.15">
      <c r="C1500" s="26"/>
      <c r="D1500" s="22"/>
      <c r="E1500" s="20"/>
      <c r="F1500" s="20"/>
      <c r="G1500" s="20"/>
      <c r="H1500" s="27"/>
    </row>
    <row r="1501" spans="3:8" x14ac:dyDescent="0.15">
      <c r="C1501" s="26"/>
      <c r="D1501" s="22"/>
      <c r="E1501" s="20"/>
      <c r="F1501" s="20"/>
      <c r="G1501" s="20"/>
      <c r="H1501" s="27"/>
    </row>
    <row r="1502" spans="3:8" x14ac:dyDescent="0.15">
      <c r="C1502" s="26"/>
      <c r="D1502" s="22"/>
      <c r="E1502" s="20"/>
      <c r="F1502" s="20"/>
      <c r="G1502" s="20"/>
      <c r="H1502" s="27"/>
    </row>
    <row r="1503" spans="3:8" x14ac:dyDescent="0.15">
      <c r="C1503" s="26"/>
      <c r="D1503" s="22"/>
      <c r="E1503" s="20"/>
      <c r="F1503" s="20"/>
      <c r="G1503" s="20"/>
      <c r="H1503" s="27"/>
    </row>
    <row r="1504" spans="3:8" x14ac:dyDescent="0.15">
      <c r="C1504" s="26"/>
      <c r="D1504" s="22"/>
      <c r="E1504" s="20"/>
      <c r="F1504" s="20"/>
      <c r="G1504" s="20"/>
      <c r="H1504" s="27"/>
    </row>
    <row r="1505" spans="3:8" x14ac:dyDescent="0.15">
      <c r="C1505" s="26"/>
      <c r="D1505" s="22"/>
      <c r="E1505" s="20"/>
      <c r="F1505" s="20"/>
      <c r="G1505" s="20"/>
      <c r="H1505" s="27"/>
    </row>
    <row r="1506" spans="3:8" x14ac:dyDescent="0.15">
      <c r="C1506" s="26"/>
      <c r="D1506" s="22"/>
      <c r="E1506" s="20"/>
      <c r="F1506" s="20"/>
      <c r="G1506" s="20"/>
      <c r="H1506" s="27"/>
    </row>
    <row r="1507" spans="3:8" x14ac:dyDescent="0.15">
      <c r="C1507" s="26"/>
      <c r="D1507" s="22"/>
      <c r="E1507" s="20"/>
      <c r="F1507" s="20"/>
      <c r="G1507" s="20"/>
      <c r="H1507" s="27"/>
    </row>
    <row r="1508" spans="3:8" x14ac:dyDescent="0.15">
      <c r="C1508" s="26"/>
      <c r="D1508" s="22"/>
      <c r="E1508" s="20"/>
      <c r="F1508" s="20"/>
      <c r="G1508" s="20"/>
      <c r="H1508" s="27"/>
    </row>
    <row r="1509" spans="3:8" x14ac:dyDescent="0.15">
      <c r="C1509" s="26"/>
      <c r="D1509" s="22"/>
      <c r="E1509" s="20"/>
      <c r="F1509" s="20"/>
      <c r="G1509" s="20"/>
      <c r="H1509" s="27"/>
    </row>
    <row r="1510" spans="3:8" x14ac:dyDescent="0.15">
      <c r="C1510" s="26"/>
      <c r="D1510" s="22"/>
      <c r="E1510" s="20"/>
      <c r="F1510" s="20"/>
      <c r="G1510" s="20"/>
      <c r="H1510" s="27"/>
    </row>
    <row r="1511" spans="3:8" x14ac:dyDescent="0.15">
      <c r="C1511" s="26"/>
      <c r="D1511" s="22"/>
      <c r="E1511" s="20"/>
      <c r="F1511" s="20"/>
      <c r="G1511" s="20"/>
      <c r="H1511" s="27"/>
    </row>
    <row r="1512" spans="3:8" x14ac:dyDescent="0.15">
      <c r="C1512" s="26"/>
      <c r="D1512" s="22"/>
      <c r="E1512" s="20"/>
      <c r="F1512" s="20"/>
      <c r="G1512" s="20"/>
      <c r="H1512" s="27"/>
    </row>
    <row r="1513" spans="3:8" x14ac:dyDescent="0.15">
      <c r="C1513" s="26"/>
      <c r="D1513" s="22"/>
      <c r="E1513" s="20"/>
      <c r="F1513" s="20"/>
      <c r="G1513" s="20"/>
      <c r="H1513" s="27"/>
    </row>
    <row r="1514" spans="3:8" x14ac:dyDescent="0.15">
      <c r="C1514" s="26"/>
      <c r="D1514" s="22"/>
      <c r="E1514" s="20"/>
      <c r="F1514" s="20"/>
      <c r="G1514" s="20"/>
      <c r="H1514" s="27"/>
    </row>
    <row r="1515" spans="3:8" x14ac:dyDescent="0.15">
      <c r="C1515" s="26"/>
      <c r="D1515" s="22"/>
      <c r="E1515" s="20"/>
      <c r="F1515" s="20"/>
      <c r="G1515" s="20"/>
      <c r="H1515" s="27"/>
    </row>
    <row r="1516" spans="3:8" x14ac:dyDescent="0.15">
      <c r="C1516" s="26"/>
      <c r="D1516" s="22"/>
      <c r="E1516" s="20"/>
      <c r="F1516" s="20"/>
      <c r="G1516" s="20"/>
      <c r="H1516" s="27"/>
    </row>
    <row r="1517" spans="3:8" x14ac:dyDescent="0.15">
      <c r="C1517" s="26"/>
      <c r="D1517" s="22"/>
      <c r="E1517" s="20"/>
      <c r="F1517" s="20"/>
      <c r="G1517" s="20"/>
      <c r="H1517" s="27"/>
    </row>
    <row r="1518" spans="3:8" x14ac:dyDescent="0.15">
      <c r="C1518" s="26"/>
      <c r="D1518" s="22"/>
      <c r="E1518" s="20"/>
      <c r="F1518" s="20"/>
      <c r="G1518" s="20"/>
      <c r="H1518" s="27"/>
    </row>
    <row r="1519" spans="3:8" x14ac:dyDescent="0.15">
      <c r="C1519" s="26"/>
      <c r="D1519" s="22"/>
      <c r="E1519" s="20"/>
      <c r="F1519" s="20"/>
      <c r="G1519" s="20"/>
      <c r="H1519" s="27"/>
    </row>
    <row r="1520" spans="3:8" x14ac:dyDescent="0.15">
      <c r="C1520" s="26"/>
      <c r="D1520" s="22"/>
      <c r="E1520" s="20"/>
      <c r="F1520" s="20"/>
      <c r="G1520" s="20"/>
      <c r="H1520" s="27"/>
    </row>
    <row r="1521" spans="3:8" x14ac:dyDescent="0.15">
      <c r="C1521" s="26"/>
      <c r="D1521" s="22"/>
      <c r="E1521" s="20"/>
      <c r="F1521" s="20"/>
      <c r="G1521" s="20"/>
      <c r="H1521" s="27"/>
    </row>
    <row r="1522" spans="3:8" x14ac:dyDescent="0.15">
      <c r="C1522" s="26"/>
      <c r="D1522" s="22"/>
      <c r="E1522" s="20"/>
      <c r="F1522" s="20"/>
      <c r="G1522" s="20"/>
      <c r="H1522" s="27"/>
    </row>
    <row r="1523" spans="3:8" x14ac:dyDescent="0.15">
      <c r="C1523" s="26"/>
      <c r="D1523" s="22"/>
      <c r="E1523" s="20"/>
      <c r="F1523" s="20"/>
      <c r="G1523" s="20"/>
      <c r="H1523" s="27"/>
    </row>
    <row r="1524" spans="3:8" x14ac:dyDescent="0.15">
      <c r="C1524" s="26"/>
      <c r="D1524" s="22"/>
      <c r="E1524" s="20"/>
      <c r="F1524" s="20"/>
      <c r="G1524" s="20"/>
      <c r="H1524" s="27"/>
    </row>
    <row r="1525" spans="3:8" x14ac:dyDescent="0.15">
      <c r="C1525" s="26"/>
      <c r="D1525" s="22"/>
      <c r="E1525" s="20"/>
      <c r="F1525" s="20"/>
      <c r="G1525" s="20"/>
      <c r="H1525" s="27"/>
    </row>
    <row r="1526" spans="3:8" x14ac:dyDescent="0.15">
      <c r="C1526" s="26"/>
      <c r="D1526" s="22"/>
      <c r="E1526" s="20"/>
      <c r="F1526" s="20"/>
      <c r="G1526" s="20"/>
      <c r="H1526" s="27"/>
    </row>
    <row r="1527" spans="3:8" x14ac:dyDescent="0.15">
      <c r="C1527" s="26"/>
      <c r="D1527" s="22"/>
      <c r="E1527" s="20"/>
      <c r="F1527" s="20"/>
      <c r="G1527" s="20"/>
      <c r="H1527" s="27"/>
    </row>
    <row r="1528" spans="3:8" x14ac:dyDescent="0.15">
      <c r="C1528" s="26"/>
      <c r="D1528" s="22"/>
      <c r="E1528" s="20"/>
      <c r="F1528" s="20"/>
      <c r="G1528" s="20"/>
      <c r="H1528" s="27"/>
    </row>
    <row r="1529" spans="3:8" x14ac:dyDescent="0.15">
      <c r="C1529" s="26"/>
      <c r="D1529" s="22"/>
      <c r="E1529" s="20"/>
      <c r="F1529" s="20"/>
      <c r="G1529" s="20"/>
      <c r="H1529" s="27"/>
    </row>
    <row r="1530" spans="3:8" x14ac:dyDescent="0.15">
      <c r="C1530" s="26"/>
      <c r="D1530" s="22"/>
      <c r="E1530" s="20"/>
      <c r="F1530" s="20"/>
      <c r="G1530" s="20"/>
      <c r="H1530" s="27"/>
    </row>
    <row r="1531" spans="3:8" x14ac:dyDescent="0.15">
      <c r="C1531" s="26"/>
      <c r="D1531" s="22"/>
      <c r="E1531" s="20"/>
      <c r="F1531" s="20"/>
      <c r="G1531" s="20"/>
      <c r="H1531" s="27"/>
    </row>
    <row r="1532" spans="3:8" x14ac:dyDescent="0.15">
      <c r="C1532" s="26"/>
      <c r="D1532" s="22"/>
      <c r="E1532" s="20"/>
      <c r="F1532" s="20"/>
      <c r="G1532" s="20"/>
      <c r="H1532" s="27"/>
    </row>
    <row r="1533" spans="3:8" x14ac:dyDescent="0.15">
      <c r="C1533" s="26"/>
      <c r="D1533" s="22"/>
      <c r="E1533" s="20"/>
      <c r="F1533" s="20"/>
      <c r="G1533" s="20"/>
      <c r="H1533" s="27"/>
    </row>
    <row r="1534" spans="3:8" x14ac:dyDescent="0.15">
      <c r="C1534" s="26"/>
      <c r="D1534" s="22"/>
      <c r="E1534" s="20"/>
      <c r="F1534" s="20"/>
      <c r="G1534" s="20"/>
      <c r="H1534" s="27"/>
    </row>
    <row r="1535" spans="3:8" x14ac:dyDescent="0.15">
      <c r="C1535" s="26"/>
      <c r="D1535" s="22"/>
      <c r="E1535" s="20"/>
      <c r="F1535" s="20"/>
      <c r="G1535" s="20"/>
      <c r="H1535" s="27"/>
    </row>
    <row r="1536" spans="3:8" x14ac:dyDescent="0.15">
      <c r="C1536" s="26"/>
      <c r="D1536" s="22"/>
      <c r="E1536" s="20"/>
      <c r="F1536" s="20"/>
      <c r="G1536" s="20"/>
      <c r="H1536" s="27"/>
    </row>
    <row r="1537" spans="3:8" x14ac:dyDescent="0.15">
      <c r="C1537" s="26"/>
      <c r="D1537" s="22"/>
      <c r="E1537" s="20"/>
      <c r="F1537" s="20"/>
      <c r="G1537" s="20"/>
      <c r="H1537" s="27"/>
    </row>
    <row r="1538" spans="3:8" x14ac:dyDescent="0.15">
      <c r="C1538" s="26"/>
      <c r="D1538" s="22"/>
      <c r="E1538" s="20"/>
      <c r="F1538" s="20"/>
      <c r="G1538" s="20"/>
      <c r="H1538" s="27"/>
    </row>
    <row r="1539" spans="3:8" x14ac:dyDescent="0.15">
      <c r="C1539" s="26"/>
      <c r="D1539" s="22"/>
      <c r="E1539" s="20"/>
      <c r="F1539" s="20"/>
      <c r="G1539" s="20"/>
      <c r="H1539" s="27"/>
    </row>
    <row r="1540" spans="3:8" x14ac:dyDescent="0.15">
      <c r="C1540" s="26"/>
      <c r="D1540" s="22"/>
      <c r="E1540" s="20"/>
      <c r="F1540" s="20"/>
      <c r="G1540" s="20"/>
      <c r="H1540" s="27"/>
    </row>
    <row r="1541" spans="3:8" x14ac:dyDescent="0.15">
      <c r="C1541" s="26"/>
      <c r="D1541" s="22"/>
      <c r="E1541" s="20"/>
      <c r="F1541" s="20"/>
      <c r="G1541" s="20"/>
      <c r="H1541" s="27"/>
    </row>
    <row r="1542" spans="3:8" x14ac:dyDescent="0.15">
      <c r="C1542" s="26"/>
      <c r="D1542" s="22"/>
      <c r="E1542" s="20"/>
      <c r="F1542" s="20"/>
      <c r="G1542" s="20"/>
      <c r="H1542" s="27"/>
    </row>
    <row r="1543" spans="3:8" x14ac:dyDescent="0.15">
      <c r="C1543" s="26"/>
      <c r="D1543" s="22"/>
      <c r="E1543" s="20"/>
      <c r="F1543" s="20"/>
      <c r="G1543" s="20"/>
      <c r="H1543" s="27"/>
    </row>
    <row r="1544" spans="3:8" x14ac:dyDescent="0.15">
      <c r="C1544" s="26"/>
      <c r="D1544" s="22"/>
      <c r="E1544" s="20"/>
      <c r="F1544" s="20"/>
      <c r="G1544" s="20"/>
      <c r="H1544" s="27"/>
    </row>
    <row r="1545" spans="3:8" x14ac:dyDescent="0.15">
      <c r="C1545" s="26"/>
      <c r="D1545" s="22"/>
      <c r="E1545" s="20"/>
      <c r="F1545" s="20"/>
      <c r="G1545" s="20"/>
      <c r="H1545" s="27"/>
    </row>
    <row r="1546" spans="3:8" x14ac:dyDescent="0.15">
      <c r="C1546" s="26"/>
      <c r="D1546" s="22"/>
      <c r="E1546" s="20"/>
      <c r="F1546" s="20"/>
      <c r="G1546" s="20"/>
      <c r="H1546" s="27"/>
    </row>
    <row r="1547" spans="3:8" x14ac:dyDescent="0.15">
      <c r="C1547" s="26"/>
      <c r="D1547" s="22"/>
      <c r="E1547" s="20"/>
      <c r="F1547" s="20"/>
      <c r="G1547" s="20"/>
      <c r="H1547" s="27"/>
    </row>
    <row r="1548" spans="3:8" x14ac:dyDescent="0.15">
      <c r="C1548" s="26"/>
      <c r="D1548" s="22"/>
      <c r="E1548" s="20"/>
      <c r="F1548" s="20"/>
      <c r="G1548" s="20"/>
      <c r="H1548" s="27"/>
    </row>
    <row r="1549" spans="3:8" x14ac:dyDescent="0.15">
      <c r="C1549" s="26"/>
      <c r="D1549" s="22"/>
      <c r="E1549" s="20"/>
      <c r="F1549" s="20"/>
      <c r="G1549" s="20"/>
      <c r="H1549" s="27"/>
    </row>
    <row r="1550" spans="3:8" x14ac:dyDescent="0.15">
      <c r="C1550" s="26"/>
      <c r="D1550" s="22"/>
      <c r="E1550" s="20"/>
      <c r="F1550" s="20"/>
      <c r="G1550" s="20"/>
      <c r="H1550" s="27"/>
    </row>
    <row r="1551" spans="3:8" x14ac:dyDescent="0.15">
      <c r="C1551" s="26"/>
      <c r="D1551" s="22"/>
      <c r="E1551" s="20"/>
      <c r="F1551" s="20"/>
      <c r="G1551" s="20"/>
      <c r="H1551" s="27"/>
    </row>
    <row r="1552" spans="3:8" x14ac:dyDescent="0.15">
      <c r="C1552" s="26"/>
      <c r="D1552" s="22"/>
      <c r="E1552" s="20"/>
      <c r="F1552" s="20"/>
      <c r="G1552" s="20"/>
      <c r="H1552" s="27"/>
    </row>
    <row r="1553" spans="3:8" x14ac:dyDescent="0.15">
      <c r="C1553" s="26"/>
      <c r="D1553" s="22"/>
      <c r="E1553" s="20"/>
      <c r="F1553" s="20"/>
      <c r="G1553" s="20"/>
      <c r="H1553" s="27"/>
    </row>
    <row r="1554" spans="3:8" x14ac:dyDescent="0.15">
      <c r="C1554" s="26"/>
      <c r="D1554" s="22"/>
      <c r="E1554" s="20"/>
      <c r="F1554" s="20"/>
      <c r="G1554" s="20"/>
      <c r="H1554" s="27"/>
    </row>
    <row r="1555" spans="3:8" x14ac:dyDescent="0.15">
      <c r="C1555" s="26"/>
      <c r="D1555" s="22"/>
      <c r="E1555" s="20"/>
      <c r="F1555" s="20"/>
      <c r="G1555" s="20"/>
      <c r="H1555" s="27"/>
    </row>
    <row r="1556" spans="3:8" x14ac:dyDescent="0.15">
      <c r="C1556" s="26"/>
      <c r="D1556" s="22"/>
      <c r="E1556" s="20"/>
      <c r="F1556" s="20"/>
      <c r="G1556" s="20"/>
      <c r="H1556" s="27"/>
    </row>
    <row r="1557" spans="3:8" x14ac:dyDescent="0.15">
      <c r="C1557" s="26"/>
      <c r="D1557" s="22"/>
      <c r="E1557" s="20"/>
      <c r="F1557" s="20"/>
      <c r="G1557" s="20"/>
      <c r="H1557" s="27"/>
    </row>
    <row r="1558" spans="3:8" x14ac:dyDescent="0.15">
      <c r="C1558" s="26"/>
      <c r="D1558" s="22"/>
      <c r="E1558" s="20"/>
      <c r="F1558" s="20"/>
      <c r="G1558" s="20"/>
      <c r="H1558" s="27"/>
    </row>
    <row r="1559" spans="3:8" x14ac:dyDescent="0.15">
      <c r="C1559" s="26"/>
      <c r="D1559" s="22"/>
      <c r="E1559" s="20"/>
      <c r="F1559" s="20"/>
      <c r="G1559" s="20"/>
      <c r="H1559" s="27"/>
    </row>
    <row r="1560" spans="3:8" x14ac:dyDescent="0.15">
      <c r="C1560" s="26"/>
      <c r="D1560" s="22"/>
      <c r="E1560" s="20"/>
      <c r="F1560" s="20"/>
      <c r="G1560" s="20"/>
      <c r="H1560" s="27"/>
    </row>
    <row r="1561" spans="3:8" x14ac:dyDescent="0.15">
      <c r="C1561" s="26"/>
      <c r="D1561" s="22"/>
      <c r="E1561" s="20"/>
      <c r="F1561" s="20"/>
      <c r="G1561" s="20"/>
      <c r="H1561" s="27"/>
    </row>
    <row r="1562" spans="3:8" x14ac:dyDescent="0.15">
      <c r="C1562" s="26"/>
      <c r="D1562" s="22"/>
      <c r="E1562" s="20"/>
      <c r="F1562" s="20"/>
      <c r="G1562" s="20"/>
      <c r="H1562" s="27"/>
    </row>
    <row r="1563" spans="3:8" x14ac:dyDescent="0.15">
      <c r="C1563" s="26"/>
      <c r="D1563" s="22"/>
      <c r="E1563" s="20"/>
      <c r="F1563" s="20"/>
      <c r="G1563" s="20"/>
      <c r="H1563" s="27"/>
    </row>
    <row r="1564" spans="3:8" x14ac:dyDescent="0.15">
      <c r="C1564" s="26"/>
      <c r="D1564" s="22"/>
      <c r="E1564" s="20"/>
      <c r="F1564" s="20"/>
      <c r="G1564" s="20"/>
      <c r="H1564" s="27"/>
    </row>
    <row r="1565" spans="3:8" x14ac:dyDescent="0.15">
      <c r="C1565" s="26"/>
      <c r="D1565" s="22"/>
      <c r="E1565" s="20"/>
      <c r="F1565" s="20"/>
      <c r="G1565" s="20"/>
      <c r="H1565" s="27"/>
    </row>
    <row r="1566" spans="3:8" x14ac:dyDescent="0.15">
      <c r="C1566" s="26"/>
      <c r="D1566" s="22"/>
      <c r="E1566" s="20"/>
      <c r="F1566" s="20"/>
      <c r="G1566" s="20"/>
      <c r="H1566" s="27"/>
    </row>
    <row r="1567" spans="3:8" x14ac:dyDescent="0.15">
      <c r="C1567" s="26"/>
      <c r="D1567" s="22"/>
      <c r="E1567" s="20"/>
      <c r="F1567" s="20"/>
      <c r="G1567" s="20"/>
      <c r="H1567" s="27"/>
    </row>
    <row r="1568" spans="3:8" x14ac:dyDescent="0.15">
      <c r="C1568" s="26"/>
      <c r="D1568" s="22"/>
      <c r="E1568" s="20"/>
      <c r="F1568" s="20"/>
      <c r="G1568" s="20"/>
      <c r="H1568" s="27"/>
    </row>
    <row r="1569" spans="3:8" x14ac:dyDescent="0.15">
      <c r="C1569" s="26"/>
      <c r="D1569" s="22"/>
      <c r="E1569" s="20"/>
      <c r="F1569" s="20"/>
      <c r="G1569" s="20"/>
      <c r="H1569" s="27"/>
    </row>
    <row r="1570" spans="3:8" x14ac:dyDescent="0.15">
      <c r="C1570" s="26"/>
      <c r="D1570" s="22"/>
      <c r="E1570" s="20"/>
      <c r="F1570" s="20"/>
      <c r="G1570" s="20"/>
      <c r="H1570" s="27"/>
    </row>
    <row r="1571" spans="3:8" x14ac:dyDescent="0.15">
      <c r="C1571" s="26"/>
      <c r="D1571" s="22"/>
      <c r="E1571" s="20"/>
      <c r="F1571" s="20"/>
      <c r="G1571" s="20"/>
      <c r="H1571" s="27"/>
    </row>
    <row r="1572" spans="3:8" x14ac:dyDescent="0.15">
      <c r="C1572" s="26"/>
      <c r="D1572" s="22"/>
      <c r="E1572" s="20"/>
      <c r="F1572" s="20"/>
      <c r="G1572" s="20"/>
      <c r="H1572" s="27"/>
    </row>
    <row r="1573" spans="3:8" x14ac:dyDescent="0.15">
      <c r="C1573" s="26"/>
      <c r="D1573" s="22"/>
      <c r="E1573" s="20"/>
      <c r="F1573" s="20"/>
      <c r="G1573" s="20"/>
      <c r="H1573" s="27"/>
    </row>
    <row r="1574" spans="3:8" x14ac:dyDescent="0.15">
      <c r="C1574" s="26"/>
      <c r="D1574" s="22"/>
      <c r="E1574" s="20"/>
      <c r="F1574" s="20"/>
      <c r="G1574" s="20"/>
      <c r="H1574" s="27"/>
    </row>
    <row r="1575" spans="3:8" x14ac:dyDescent="0.15">
      <c r="C1575" s="26"/>
      <c r="D1575" s="22"/>
      <c r="E1575" s="20"/>
      <c r="F1575" s="20"/>
      <c r="G1575" s="20"/>
      <c r="H1575" s="27"/>
    </row>
    <row r="1576" spans="3:8" x14ac:dyDescent="0.15">
      <c r="C1576" s="26"/>
      <c r="D1576" s="22"/>
      <c r="E1576" s="20"/>
      <c r="F1576" s="20"/>
      <c r="G1576" s="20"/>
      <c r="H1576" s="27"/>
    </row>
    <row r="1577" spans="3:8" x14ac:dyDescent="0.15">
      <c r="C1577" s="26"/>
      <c r="D1577" s="22"/>
      <c r="E1577" s="20"/>
      <c r="F1577" s="20"/>
      <c r="G1577" s="20"/>
      <c r="H1577" s="27"/>
    </row>
    <row r="1578" spans="3:8" x14ac:dyDescent="0.15">
      <c r="C1578" s="26"/>
      <c r="D1578" s="22"/>
      <c r="E1578" s="20"/>
      <c r="F1578" s="20"/>
      <c r="G1578" s="20"/>
      <c r="H1578" s="27"/>
    </row>
    <row r="1579" spans="3:8" x14ac:dyDescent="0.15">
      <c r="C1579" s="26"/>
      <c r="D1579" s="22"/>
      <c r="E1579" s="20"/>
      <c r="F1579" s="20"/>
      <c r="G1579" s="20"/>
      <c r="H1579" s="27"/>
    </row>
    <row r="1580" spans="3:8" x14ac:dyDescent="0.15">
      <c r="C1580" s="26"/>
      <c r="D1580" s="22"/>
      <c r="E1580" s="20"/>
      <c r="F1580" s="20"/>
      <c r="G1580" s="20"/>
      <c r="H1580" s="27"/>
    </row>
    <row r="1581" spans="3:8" x14ac:dyDescent="0.15">
      <c r="C1581" s="26"/>
      <c r="D1581" s="22"/>
      <c r="E1581" s="20"/>
      <c r="F1581" s="20"/>
      <c r="G1581" s="20"/>
      <c r="H1581" s="27"/>
    </row>
    <row r="1582" spans="3:8" x14ac:dyDescent="0.15">
      <c r="C1582" s="26"/>
      <c r="D1582" s="22"/>
      <c r="E1582" s="20"/>
      <c r="F1582" s="20"/>
      <c r="G1582" s="20"/>
      <c r="H1582" s="27"/>
    </row>
    <row r="1583" spans="3:8" x14ac:dyDescent="0.15">
      <c r="C1583" s="26"/>
      <c r="D1583" s="22"/>
      <c r="E1583" s="20"/>
      <c r="F1583" s="20"/>
      <c r="G1583" s="20"/>
      <c r="H1583" s="27"/>
    </row>
    <row r="1584" spans="3:8" x14ac:dyDescent="0.15">
      <c r="C1584" s="26"/>
      <c r="D1584" s="22"/>
      <c r="E1584" s="20"/>
      <c r="F1584" s="20"/>
      <c r="G1584" s="20"/>
      <c r="H1584" s="27"/>
    </row>
    <row r="1585" spans="3:8" x14ac:dyDescent="0.15">
      <c r="C1585" s="26"/>
      <c r="D1585" s="22"/>
      <c r="E1585" s="20"/>
      <c r="F1585" s="20"/>
      <c r="G1585" s="20"/>
      <c r="H1585" s="27"/>
    </row>
    <row r="1586" spans="3:8" x14ac:dyDescent="0.15">
      <c r="C1586" s="26"/>
      <c r="D1586" s="22"/>
      <c r="E1586" s="20"/>
      <c r="F1586" s="20"/>
      <c r="G1586" s="20"/>
      <c r="H1586" s="27"/>
    </row>
    <row r="1587" spans="3:8" x14ac:dyDescent="0.15">
      <c r="C1587" s="26"/>
      <c r="D1587" s="22"/>
      <c r="E1587" s="20"/>
      <c r="F1587" s="20"/>
      <c r="G1587" s="20"/>
      <c r="H1587" s="27"/>
    </row>
    <row r="1588" spans="3:8" x14ac:dyDescent="0.15">
      <c r="C1588" s="26"/>
      <c r="D1588" s="22"/>
      <c r="E1588" s="20"/>
      <c r="F1588" s="20"/>
      <c r="G1588" s="20"/>
      <c r="H1588" s="27"/>
    </row>
    <row r="1589" spans="3:8" x14ac:dyDescent="0.15">
      <c r="C1589" s="26"/>
      <c r="D1589" s="22"/>
      <c r="E1589" s="20"/>
      <c r="F1589" s="20"/>
      <c r="G1589" s="20"/>
      <c r="H1589" s="27"/>
    </row>
    <row r="1590" spans="3:8" x14ac:dyDescent="0.15">
      <c r="C1590" s="26"/>
      <c r="D1590" s="22"/>
      <c r="E1590" s="20"/>
      <c r="F1590" s="20"/>
      <c r="G1590" s="20"/>
      <c r="H1590" s="27"/>
    </row>
    <row r="1591" spans="3:8" x14ac:dyDescent="0.15">
      <c r="C1591" s="26"/>
      <c r="D1591" s="22"/>
      <c r="E1591" s="20"/>
      <c r="F1591" s="20"/>
      <c r="G1591" s="20"/>
      <c r="H1591" s="27"/>
    </row>
    <row r="1592" spans="3:8" x14ac:dyDescent="0.15">
      <c r="C1592" s="26"/>
      <c r="D1592" s="22"/>
      <c r="E1592" s="20"/>
      <c r="F1592" s="20"/>
      <c r="G1592" s="20"/>
      <c r="H1592" s="27"/>
    </row>
    <row r="1593" spans="3:8" x14ac:dyDescent="0.15">
      <c r="C1593" s="26"/>
      <c r="D1593" s="22"/>
      <c r="E1593" s="20"/>
      <c r="F1593" s="20"/>
      <c r="G1593" s="20"/>
      <c r="H1593" s="27"/>
    </row>
    <row r="1594" spans="3:8" x14ac:dyDescent="0.15">
      <c r="C1594" s="26"/>
      <c r="D1594" s="22"/>
      <c r="E1594" s="20"/>
      <c r="F1594" s="20"/>
      <c r="G1594" s="20"/>
      <c r="H1594" s="27"/>
    </row>
    <row r="1595" spans="3:8" x14ac:dyDescent="0.15">
      <c r="C1595" s="26"/>
      <c r="D1595" s="22"/>
      <c r="E1595" s="20"/>
      <c r="F1595" s="20"/>
      <c r="G1595" s="20"/>
      <c r="H1595" s="27"/>
    </row>
    <row r="1596" spans="3:8" x14ac:dyDescent="0.15">
      <c r="C1596" s="26"/>
      <c r="D1596" s="22"/>
      <c r="E1596" s="20"/>
      <c r="F1596" s="20"/>
      <c r="G1596" s="20"/>
      <c r="H1596" s="27"/>
    </row>
    <row r="1597" spans="3:8" x14ac:dyDescent="0.15">
      <c r="C1597" s="26"/>
      <c r="D1597" s="22"/>
      <c r="E1597" s="20"/>
      <c r="F1597" s="20"/>
      <c r="G1597" s="20"/>
      <c r="H1597" s="27"/>
    </row>
    <row r="1598" spans="3:8" x14ac:dyDescent="0.15">
      <c r="C1598" s="26"/>
      <c r="D1598" s="22"/>
      <c r="E1598" s="20"/>
      <c r="F1598" s="20"/>
      <c r="G1598" s="20"/>
      <c r="H1598" s="27"/>
    </row>
    <row r="1599" spans="3:8" x14ac:dyDescent="0.15">
      <c r="C1599" s="26"/>
      <c r="D1599" s="22"/>
      <c r="E1599" s="20"/>
      <c r="F1599" s="20"/>
      <c r="G1599" s="20"/>
      <c r="H1599" s="27"/>
    </row>
    <row r="1600" spans="3:8" x14ac:dyDescent="0.15">
      <c r="C1600" s="26"/>
      <c r="D1600" s="22"/>
      <c r="E1600" s="20"/>
      <c r="F1600" s="20"/>
      <c r="G1600" s="20"/>
      <c r="H1600" s="27"/>
    </row>
    <row r="1601" spans="3:8" x14ac:dyDescent="0.15">
      <c r="C1601" s="26"/>
      <c r="D1601" s="22"/>
      <c r="E1601" s="20"/>
      <c r="F1601" s="20"/>
      <c r="G1601" s="20"/>
      <c r="H1601" s="27"/>
    </row>
    <row r="1602" spans="3:8" x14ac:dyDescent="0.15">
      <c r="C1602" s="26"/>
      <c r="D1602" s="22"/>
      <c r="E1602" s="20"/>
      <c r="F1602" s="20"/>
      <c r="G1602" s="20"/>
      <c r="H1602" s="27"/>
    </row>
    <row r="1603" spans="3:8" x14ac:dyDescent="0.15">
      <c r="C1603" s="26"/>
      <c r="D1603" s="22"/>
      <c r="E1603" s="20"/>
      <c r="F1603" s="20"/>
      <c r="G1603" s="20"/>
      <c r="H1603" s="27"/>
    </row>
    <row r="1604" spans="3:8" x14ac:dyDescent="0.15">
      <c r="C1604" s="26"/>
      <c r="D1604" s="22"/>
      <c r="E1604" s="20"/>
      <c r="F1604" s="20"/>
      <c r="G1604" s="20"/>
      <c r="H1604" s="27"/>
    </row>
    <row r="1605" spans="3:8" x14ac:dyDescent="0.15">
      <c r="C1605" s="26"/>
      <c r="D1605" s="22"/>
      <c r="E1605" s="20"/>
      <c r="F1605" s="20"/>
      <c r="G1605" s="20"/>
      <c r="H1605" s="27"/>
    </row>
    <row r="1606" spans="3:8" x14ac:dyDescent="0.15">
      <c r="C1606" s="26"/>
      <c r="D1606" s="22"/>
      <c r="E1606" s="20"/>
      <c r="F1606" s="20"/>
      <c r="G1606" s="20"/>
      <c r="H1606" s="27"/>
    </row>
    <row r="1607" spans="3:8" x14ac:dyDescent="0.15">
      <c r="C1607" s="26"/>
      <c r="D1607" s="22"/>
      <c r="E1607" s="20"/>
      <c r="F1607" s="20"/>
      <c r="G1607" s="20"/>
      <c r="H1607" s="27"/>
    </row>
    <row r="1608" spans="3:8" x14ac:dyDescent="0.15">
      <c r="C1608" s="26"/>
      <c r="D1608" s="22"/>
      <c r="E1608" s="20"/>
      <c r="F1608" s="20"/>
      <c r="G1608" s="20"/>
      <c r="H1608" s="27"/>
    </row>
    <row r="1609" spans="3:8" x14ac:dyDescent="0.15">
      <c r="C1609" s="26"/>
      <c r="D1609" s="22"/>
      <c r="E1609" s="20"/>
      <c r="F1609" s="20"/>
      <c r="G1609" s="20"/>
      <c r="H1609" s="27"/>
    </row>
    <row r="1610" spans="3:8" x14ac:dyDescent="0.15">
      <c r="C1610" s="26"/>
      <c r="D1610" s="22"/>
      <c r="E1610" s="20"/>
      <c r="F1610" s="20"/>
      <c r="G1610" s="20"/>
      <c r="H1610" s="27"/>
    </row>
    <row r="1611" spans="3:8" x14ac:dyDescent="0.15">
      <c r="C1611" s="26"/>
      <c r="D1611" s="22"/>
      <c r="E1611" s="20"/>
      <c r="F1611" s="20"/>
      <c r="G1611" s="20"/>
      <c r="H1611" s="27"/>
    </row>
    <row r="1612" spans="3:8" x14ac:dyDescent="0.15">
      <c r="C1612" s="26"/>
      <c r="D1612" s="22"/>
      <c r="E1612" s="20"/>
      <c r="F1612" s="20"/>
      <c r="G1612" s="20"/>
      <c r="H1612" s="27"/>
    </row>
    <row r="1613" spans="3:8" x14ac:dyDescent="0.15">
      <c r="C1613" s="26"/>
      <c r="D1613" s="22"/>
      <c r="E1613" s="20"/>
      <c r="F1613" s="20"/>
      <c r="G1613" s="20"/>
      <c r="H1613" s="27"/>
    </row>
    <row r="1614" spans="3:8" x14ac:dyDescent="0.15">
      <c r="C1614" s="26"/>
      <c r="D1614" s="22"/>
      <c r="E1614" s="20"/>
      <c r="F1614" s="20"/>
      <c r="G1614" s="20"/>
      <c r="H1614" s="27"/>
    </row>
    <row r="1615" spans="3:8" x14ac:dyDescent="0.15">
      <c r="C1615" s="26"/>
      <c r="D1615" s="22"/>
      <c r="E1615" s="20"/>
      <c r="F1615" s="20"/>
      <c r="G1615" s="20"/>
      <c r="H1615" s="27"/>
    </row>
    <row r="1616" spans="3:8" x14ac:dyDescent="0.15">
      <c r="C1616" s="26"/>
      <c r="D1616" s="22"/>
      <c r="E1616" s="20"/>
      <c r="F1616" s="20"/>
      <c r="G1616" s="20"/>
      <c r="H1616" s="27"/>
    </row>
    <row r="1617" spans="3:8" x14ac:dyDescent="0.15">
      <c r="C1617" s="26"/>
      <c r="D1617" s="22"/>
      <c r="E1617" s="20"/>
      <c r="F1617" s="20"/>
      <c r="G1617" s="20"/>
      <c r="H1617" s="27"/>
    </row>
    <row r="1618" spans="3:8" x14ac:dyDescent="0.15">
      <c r="C1618" s="26"/>
      <c r="D1618" s="22"/>
      <c r="E1618" s="20"/>
      <c r="F1618" s="20"/>
      <c r="G1618" s="20"/>
      <c r="H1618" s="27"/>
    </row>
    <row r="1619" spans="3:8" x14ac:dyDescent="0.15">
      <c r="C1619" s="26"/>
      <c r="D1619" s="22"/>
      <c r="E1619" s="20"/>
      <c r="F1619" s="20"/>
      <c r="G1619" s="20"/>
      <c r="H1619" s="27"/>
    </row>
    <row r="1620" spans="3:8" x14ac:dyDescent="0.15">
      <c r="C1620" s="26"/>
      <c r="D1620" s="22"/>
      <c r="E1620" s="20"/>
      <c r="F1620" s="20"/>
      <c r="G1620" s="20"/>
      <c r="H1620" s="27"/>
    </row>
    <row r="1621" spans="3:8" x14ac:dyDescent="0.15">
      <c r="C1621" s="26"/>
      <c r="D1621" s="22"/>
      <c r="E1621" s="20"/>
      <c r="F1621" s="20"/>
      <c r="G1621" s="20"/>
      <c r="H1621" s="27"/>
    </row>
    <row r="1622" spans="3:8" x14ac:dyDescent="0.15">
      <c r="C1622" s="26"/>
      <c r="D1622" s="22"/>
      <c r="E1622" s="20"/>
      <c r="F1622" s="20"/>
      <c r="G1622" s="20"/>
      <c r="H1622" s="27"/>
    </row>
    <row r="1623" spans="3:8" x14ac:dyDescent="0.15">
      <c r="C1623" s="26"/>
      <c r="D1623" s="22"/>
      <c r="E1623" s="20"/>
      <c r="F1623" s="20"/>
      <c r="G1623" s="20"/>
      <c r="H1623" s="27"/>
    </row>
    <row r="1624" spans="3:8" x14ac:dyDescent="0.15">
      <c r="C1624" s="26"/>
      <c r="D1624" s="22"/>
      <c r="E1624" s="20"/>
      <c r="F1624" s="20"/>
      <c r="G1624" s="20"/>
      <c r="H1624" s="27"/>
    </row>
    <row r="1625" spans="3:8" x14ac:dyDescent="0.15">
      <c r="C1625" s="26"/>
      <c r="D1625" s="22"/>
      <c r="E1625" s="20"/>
      <c r="F1625" s="20"/>
      <c r="G1625" s="20"/>
      <c r="H1625" s="27"/>
    </row>
    <row r="1626" spans="3:8" x14ac:dyDescent="0.15">
      <c r="C1626" s="26"/>
      <c r="D1626" s="22"/>
      <c r="E1626" s="20"/>
      <c r="F1626" s="20"/>
      <c r="G1626" s="20"/>
      <c r="H1626" s="27"/>
    </row>
    <row r="1627" spans="3:8" x14ac:dyDescent="0.15">
      <c r="C1627" s="26"/>
      <c r="D1627" s="22"/>
      <c r="E1627" s="20"/>
      <c r="F1627" s="20"/>
      <c r="G1627" s="20"/>
      <c r="H1627" s="27"/>
    </row>
    <row r="1628" spans="3:8" x14ac:dyDescent="0.15">
      <c r="C1628" s="26"/>
      <c r="D1628" s="22"/>
      <c r="E1628" s="20"/>
      <c r="F1628" s="20"/>
      <c r="G1628" s="20"/>
      <c r="H1628" s="27"/>
    </row>
    <row r="1629" spans="3:8" x14ac:dyDescent="0.15">
      <c r="C1629" s="26"/>
      <c r="D1629" s="22"/>
      <c r="E1629" s="20"/>
      <c r="F1629" s="20"/>
      <c r="G1629" s="20"/>
      <c r="H1629" s="27"/>
    </row>
    <row r="1630" spans="3:8" x14ac:dyDescent="0.15">
      <c r="C1630" s="26"/>
      <c r="D1630" s="22"/>
      <c r="E1630" s="20"/>
      <c r="F1630" s="20"/>
      <c r="G1630" s="20"/>
      <c r="H1630" s="27"/>
    </row>
    <row r="1631" spans="3:8" x14ac:dyDescent="0.15">
      <c r="C1631" s="26"/>
      <c r="D1631" s="22"/>
      <c r="E1631" s="20"/>
      <c r="F1631" s="20"/>
      <c r="G1631" s="20"/>
      <c r="H1631" s="27"/>
    </row>
    <row r="1632" spans="3:8" x14ac:dyDescent="0.15">
      <c r="C1632" s="26"/>
      <c r="D1632" s="22"/>
      <c r="E1632" s="20"/>
      <c r="F1632" s="20"/>
      <c r="G1632" s="20"/>
      <c r="H1632" s="27"/>
    </row>
    <row r="1633" spans="3:8" x14ac:dyDescent="0.15">
      <c r="C1633" s="26"/>
      <c r="D1633" s="22"/>
      <c r="E1633" s="20"/>
      <c r="F1633" s="20"/>
      <c r="G1633" s="20"/>
      <c r="H1633" s="27"/>
    </row>
    <row r="1634" spans="3:8" x14ac:dyDescent="0.15">
      <c r="C1634" s="26"/>
      <c r="D1634" s="22"/>
      <c r="E1634" s="20"/>
      <c r="F1634" s="20"/>
      <c r="G1634" s="20"/>
      <c r="H1634" s="27"/>
    </row>
    <row r="1635" spans="3:8" x14ac:dyDescent="0.15">
      <c r="C1635" s="26"/>
      <c r="D1635" s="22"/>
      <c r="E1635" s="20"/>
      <c r="F1635" s="20"/>
      <c r="G1635" s="20"/>
      <c r="H1635" s="27"/>
    </row>
    <row r="1636" spans="3:8" x14ac:dyDescent="0.15">
      <c r="C1636" s="26"/>
      <c r="D1636" s="22"/>
      <c r="E1636" s="20"/>
      <c r="F1636" s="20"/>
      <c r="G1636" s="20"/>
      <c r="H1636" s="27"/>
    </row>
    <row r="1637" spans="3:8" x14ac:dyDescent="0.15">
      <c r="C1637" s="26"/>
      <c r="D1637" s="22"/>
      <c r="E1637" s="20"/>
      <c r="F1637" s="20"/>
      <c r="G1637" s="20"/>
      <c r="H1637" s="27"/>
    </row>
    <row r="1638" spans="3:8" x14ac:dyDescent="0.15">
      <c r="C1638" s="26"/>
      <c r="D1638" s="22"/>
      <c r="E1638" s="20"/>
      <c r="F1638" s="20"/>
      <c r="G1638" s="20"/>
      <c r="H1638" s="27"/>
    </row>
    <row r="1639" spans="3:8" x14ac:dyDescent="0.15">
      <c r="C1639" s="26"/>
      <c r="D1639" s="22"/>
      <c r="E1639" s="20"/>
      <c r="F1639" s="20"/>
      <c r="G1639" s="20"/>
      <c r="H1639" s="27"/>
    </row>
    <row r="1640" spans="3:8" x14ac:dyDescent="0.15">
      <c r="C1640" s="26"/>
      <c r="D1640" s="22"/>
      <c r="E1640" s="20"/>
      <c r="F1640" s="20"/>
      <c r="G1640" s="20"/>
      <c r="H1640" s="27"/>
    </row>
    <row r="1641" spans="3:8" x14ac:dyDescent="0.15">
      <c r="C1641" s="26"/>
      <c r="D1641" s="22"/>
      <c r="E1641" s="20"/>
      <c r="F1641" s="20"/>
      <c r="G1641" s="20"/>
      <c r="H1641" s="27"/>
    </row>
    <row r="1642" spans="3:8" x14ac:dyDescent="0.15">
      <c r="C1642" s="26"/>
      <c r="D1642" s="22"/>
      <c r="E1642" s="20"/>
      <c r="F1642" s="20"/>
      <c r="G1642" s="20"/>
      <c r="H1642" s="27"/>
    </row>
    <row r="1643" spans="3:8" x14ac:dyDescent="0.15">
      <c r="C1643" s="26"/>
      <c r="D1643" s="22"/>
      <c r="E1643" s="20"/>
      <c r="F1643" s="20"/>
      <c r="G1643" s="20"/>
      <c r="H1643" s="27"/>
    </row>
    <row r="1644" spans="3:8" x14ac:dyDescent="0.15">
      <c r="C1644" s="26"/>
      <c r="D1644" s="22"/>
      <c r="E1644" s="20"/>
      <c r="F1644" s="20"/>
      <c r="G1644" s="20"/>
      <c r="H1644" s="27"/>
    </row>
    <row r="1645" spans="3:8" x14ac:dyDescent="0.15">
      <c r="C1645" s="26"/>
      <c r="D1645" s="22"/>
      <c r="E1645" s="20"/>
      <c r="F1645" s="20"/>
      <c r="G1645" s="20"/>
      <c r="H1645" s="27"/>
    </row>
    <row r="1646" spans="3:8" x14ac:dyDescent="0.15">
      <c r="C1646" s="26"/>
      <c r="D1646" s="22"/>
      <c r="E1646" s="20"/>
      <c r="F1646" s="20"/>
      <c r="G1646" s="20"/>
      <c r="H1646" s="27"/>
    </row>
    <row r="1647" spans="3:8" x14ac:dyDescent="0.15">
      <c r="C1647" s="26"/>
      <c r="D1647" s="22"/>
      <c r="E1647" s="20"/>
      <c r="F1647" s="20"/>
      <c r="G1647" s="20"/>
      <c r="H1647" s="27"/>
    </row>
    <row r="1648" spans="3:8" x14ac:dyDescent="0.15">
      <c r="C1648" s="26"/>
      <c r="D1648" s="22"/>
      <c r="E1648" s="20"/>
      <c r="F1648" s="20"/>
      <c r="G1648" s="20"/>
      <c r="H1648" s="27"/>
    </row>
    <row r="1649" spans="3:8" x14ac:dyDescent="0.15">
      <c r="C1649" s="26"/>
      <c r="D1649" s="22"/>
      <c r="E1649" s="20"/>
      <c r="F1649" s="20"/>
      <c r="G1649" s="20"/>
      <c r="H1649" s="27"/>
    </row>
    <row r="1650" spans="3:8" x14ac:dyDescent="0.15">
      <c r="C1650" s="26"/>
      <c r="D1650" s="22"/>
      <c r="E1650" s="20"/>
      <c r="F1650" s="20"/>
      <c r="G1650" s="20"/>
      <c r="H1650" s="27"/>
    </row>
    <row r="1651" spans="3:8" x14ac:dyDescent="0.15">
      <c r="C1651" s="26"/>
      <c r="D1651" s="22"/>
      <c r="E1651" s="20"/>
      <c r="F1651" s="20"/>
      <c r="G1651" s="20"/>
      <c r="H1651" s="27"/>
    </row>
    <row r="1652" spans="3:8" x14ac:dyDescent="0.15">
      <c r="C1652" s="26"/>
      <c r="D1652" s="22"/>
      <c r="E1652" s="20"/>
      <c r="F1652" s="20"/>
      <c r="G1652" s="20"/>
      <c r="H1652" s="27"/>
    </row>
    <row r="1653" spans="3:8" x14ac:dyDescent="0.15">
      <c r="C1653" s="26"/>
      <c r="D1653" s="22"/>
      <c r="E1653" s="20"/>
      <c r="F1653" s="20"/>
      <c r="G1653" s="20"/>
      <c r="H1653" s="27"/>
    </row>
    <row r="1654" spans="3:8" x14ac:dyDescent="0.15">
      <c r="C1654" s="26"/>
      <c r="D1654" s="22"/>
      <c r="E1654" s="20"/>
      <c r="F1654" s="20"/>
      <c r="G1654" s="20"/>
      <c r="H1654" s="27"/>
    </row>
    <row r="1655" spans="3:8" x14ac:dyDescent="0.15">
      <c r="C1655" s="26"/>
      <c r="D1655" s="22"/>
      <c r="E1655" s="20"/>
      <c r="F1655" s="20"/>
      <c r="G1655" s="20"/>
      <c r="H1655" s="27"/>
    </row>
    <row r="1656" spans="3:8" x14ac:dyDescent="0.15">
      <c r="C1656" s="26"/>
      <c r="D1656" s="22"/>
      <c r="E1656" s="20"/>
      <c r="F1656" s="20"/>
      <c r="G1656" s="20"/>
      <c r="H1656" s="27"/>
    </row>
    <row r="1657" spans="3:8" x14ac:dyDescent="0.15">
      <c r="C1657" s="26"/>
      <c r="D1657" s="22"/>
      <c r="E1657" s="20"/>
      <c r="F1657" s="20"/>
      <c r="G1657" s="20"/>
      <c r="H1657" s="27"/>
    </row>
    <row r="1658" spans="3:8" x14ac:dyDescent="0.15">
      <c r="C1658" s="26"/>
      <c r="D1658" s="22"/>
      <c r="E1658" s="20"/>
      <c r="F1658" s="20"/>
      <c r="G1658" s="20"/>
      <c r="H1658" s="27"/>
    </row>
    <row r="1659" spans="3:8" x14ac:dyDescent="0.15">
      <c r="C1659" s="26"/>
      <c r="D1659" s="22"/>
      <c r="E1659" s="20"/>
      <c r="F1659" s="20"/>
      <c r="G1659" s="20"/>
      <c r="H1659" s="27"/>
    </row>
    <row r="1660" spans="3:8" x14ac:dyDescent="0.15">
      <c r="C1660" s="26"/>
      <c r="D1660" s="22"/>
      <c r="E1660" s="20"/>
      <c r="F1660" s="20"/>
      <c r="G1660" s="20"/>
      <c r="H1660" s="27"/>
    </row>
    <row r="1661" spans="3:8" x14ac:dyDescent="0.15">
      <c r="C1661" s="26"/>
      <c r="D1661" s="22"/>
      <c r="E1661" s="20"/>
      <c r="F1661" s="20"/>
      <c r="G1661" s="20"/>
      <c r="H1661" s="27"/>
    </row>
    <row r="1662" spans="3:8" x14ac:dyDescent="0.15">
      <c r="C1662" s="26"/>
      <c r="D1662" s="22"/>
      <c r="E1662" s="20"/>
      <c r="F1662" s="20"/>
      <c r="G1662" s="20"/>
      <c r="H1662" s="27"/>
    </row>
    <row r="1663" spans="3:8" x14ac:dyDescent="0.15">
      <c r="C1663" s="26"/>
      <c r="D1663" s="22"/>
      <c r="E1663" s="20"/>
      <c r="F1663" s="20"/>
      <c r="G1663" s="20"/>
      <c r="H1663" s="27"/>
    </row>
    <row r="1664" spans="3:8" x14ac:dyDescent="0.15">
      <c r="C1664" s="26"/>
      <c r="D1664" s="22"/>
      <c r="E1664" s="20"/>
      <c r="F1664" s="20"/>
      <c r="G1664" s="20"/>
      <c r="H1664" s="27"/>
    </row>
    <row r="1665" spans="3:8" x14ac:dyDescent="0.15">
      <c r="C1665" s="26"/>
      <c r="D1665" s="22"/>
      <c r="E1665" s="20"/>
      <c r="F1665" s="20"/>
      <c r="G1665" s="20"/>
      <c r="H1665" s="27"/>
    </row>
    <row r="1666" spans="3:8" x14ac:dyDescent="0.15">
      <c r="C1666" s="26"/>
      <c r="D1666" s="22"/>
      <c r="E1666" s="20"/>
      <c r="F1666" s="20"/>
      <c r="G1666" s="20"/>
      <c r="H1666" s="27"/>
    </row>
    <row r="1667" spans="3:8" x14ac:dyDescent="0.15">
      <c r="C1667" s="26"/>
      <c r="D1667" s="22"/>
      <c r="E1667" s="20"/>
      <c r="F1667" s="20"/>
      <c r="G1667" s="20"/>
      <c r="H1667" s="27"/>
    </row>
    <row r="1668" spans="3:8" x14ac:dyDescent="0.15">
      <c r="C1668" s="26"/>
      <c r="D1668" s="22"/>
      <c r="E1668" s="20"/>
      <c r="F1668" s="20"/>
      <c r="G1668" s="20"/>
      <c r="H1668" s="27"/>
    </row>
    <row r="1669" spans="3:8" x14ac:dyDescent="0.15">
      <c r="C1669" s="26"/>
      <c r="D1669" s="22"/>
      <c r="E1669" s="20"/>
      <c r="F1669" s="20"/>
      <c r="G1669" s="20"/>
      <c r="H1669" s="27"/>
    </row>
    <row r="1670" spans="3:8" x14ac:dyDescent="0.15">
      <c r="C1670" s="26"/>
      <c r="D1670" s="22"/>
      <c r="E1670" s="20"/>
      <c r="F1670" s="20"/>
      <c r="G1670" s="20"/>
      <c r="H1670" s="27"/>
    </row>
    <row r="1671" spans="3:8" x14ac:dyDescent="0.15">
      <c r="C1671" s="26"/>
      <c r="D1671" s="22"/>
      <c r="E1671" s="20"/>
      <c r="F1671" s="20"/>
      <c r="G1671" s="20"/>
      <c r="H1671" s="27"/>
    </row>
    <row r="1672" spans="3:8" x14ac:dyDescent="0.15">
      <c r="C1672" s="26"/>
      <c r="D1672" s="22"/>
      <c r="E1672" s="20"/>
      <c r="F1672" s="20"/>
      <c r="G1672" s="20"/>
      <c r="H1672" s="27"/>
    </row>
    <row r="1673" spans="3:8" x14ac:dyDescent="0.15">
      <c r="C1673" s="26"/>
      <c r="D1673" s="22"/>
      <c r="E1673" s="20"/>
      <c r="F1673" s="20"/>
      <c r="G1673" s="20"/>
      <c r="H1673" s="27"/>
    </row>
    <row r="1674" spans="3:8" x14ac:dyDescent="0.15">
      <c r="C1674" s="26"/>
      <c r="D1674" s="22"/>
      <c r="E1674" s="20"/>
      <c r="F1674" s="20"/>
      <c r="G1674" s="20"/>
      <c r="H1674" s="27"/>
    </row>
    <row r="1675" spans="3:8" x14ac:dyDescent="0.15">
      <c r="C1675" s="26"/>
      <c r="D1675" s="22"/>
      <c r="E1675" s="20"/>
      <c r="F1675" s="20"/>
      <c r="G1675" s="20"/>
      <c r="H1675" s="27"/>
    </row>
    <row r="1676" spans="3:8" x14ac:dyDescent="0.15">
      <c r="C1676" s="26"/>
      <c r="D1676" s="22"/>
      <c r="E1676" s="20"/>
      <c r="F1676" s="20"/>
      <c r="G1676" s="20"/>
      <c r="H1676" s="27"/>
    </row>
    <row r="1677" spans="3:8" x14ac:dyDescent="0.15">
      <c r="C1677" s="26"/>
      <c r="D1677" s="22"/>
      <c r="E1677" s="20"/>
      <c r="F1677" s="20"/>
      <c r="G1677" s="20"/>
      <c r="H1677" s="27"/>
    </row>
    <row r="1678" spans="3:8" x14ac:dyDescent="0.15">
      <c r="C1678" s="26"/>
      <c r="D1678" s="22"/>
      <c r="E1678" s="20"/>
      <c r="F1678" s="20"/>
      <c r="G1678" s="20"/>
      <c r="H1678" s="27"/>
    </row>
    <row r="1679" spans="3:8" x14ac:dyDescent="0.15">
      <c r="C1679" s="26"/>
      <c r="D1679" s="22"/>
      <c r="E1679" s="20"/>
      <c r="F1679" s="20"/>
      <c r="G1679" s="20"/>
      <c r="H1679" s="27"/>
    </row>
    <row r="1680" spans="3:8" x14ac:dyDescent="0.15">
      <c r="C1680" s="26"/>
      <c r="D1680" s="22"/>
      <c r="E1680" s="20"/>
      <c r="F1680" s="20"/>
      <c r="G1680" s="20"/>
      <c r="H1680" s="27"/>
    </row>
    <row r="1681" spans="3:8" x14ac:dyDescent="0.15">
      <c r="C1681" s="26"/>
      <c r="D1681" s="22"/>
      <c r="E1681" s="20"/>
      <c r="F1681" s="20"/>
      <c r="G1681" s="20"/>
      <c r="H1681" s="27"/>
    </row>
    <row r="1682" spans="3:8" x14ac:dyDescent="0.15">
      <c r="C1682" s="26"/>
      <c r="D1682" s="22"/>
      <c r="E1682" s="20"/>
      <c r="F1682" s="20"/>
      <c r="G1682" s="20"/>
      <c r="H1682" s="27"/>
    </row>
    <row r="1683" spans="3:8" x14ac:dyDescent="0.15">
      <c r="C1683" s="26"/>
      <c r="D1683" s="22"/>
      <c r="E1683" s="20"/>
      <c r="F1683" s="20"/>
      <c r="G1683" s="20"/>
      <c r="H1683" s="27"/>
    </row>
    <row r="1684" spans="3:8" x14ac:dyDescent="0.15">
      <c r="C1684" s="26"/>
      <c r="D1684" s="22"/>
      <c r="E1684" s="20"/>
      <c r="F1684" s="20"/>
      <c r="G1684" s="20"/>
      <c r="H1684" s="27"/>
    </row>
    <row r="1685" spans="3:8" x14ac:dyDescent="0.15">
      <c r="C1685" s="26"/>
      <c r="D1685" s="22"/>
      <c r="E1685" s="20"/>
      <c r="F1685" s="20"/>
      <c r="G1685" s="20"/>
      <c r="H1685" s="27"/>
    </row>
    <row r="1686" spans="3:8" x14ac:dyDescent="0.15">
      <c r="C1686" s="26"/>
      <c r="D1686" s="22"/>
      <c r="E1686" s="20"/>
      <c r="F1686" s="20"/>
      <c r="G1686" s="20"/>
      <c r="H1686" s="27"/>
    </row>
    <row r="1687" spans="3:8" x14ac:dyDescent="0.15">
      <c r="C1687" s="26"/>
      <c r="D1687" s="22"/>
      <c r="E1687" s="20"/>
      <c r="F1687" s="20"/>
      <c r="G1687" s="20"/>
      <c r="H1687" s="27"/>
    </row>
    <row r="1688" spans="3:8" x14ac:dyDescent="0.15">
      <c r="C1688" s="26"/>
      <c r="D1688" s="22"/>
      <c r="E1688" s="20"/>
      <c r="F1688" s="20"/>
      <c r="G1688" s="20"/>
      <c r="H1688" s="27"/>
    </row>
    <row r="1689" spans="3:8" x14ac:dyDescent="0.15">
      <c r="C1689" s="26"/>
      <c r="D1689" s="22"/>
      <c r="E1689" s="20"/>
      <c r="F1689" s="20"/>
      <c r="G1689" s="20"/>
      <c r="H1689" s="27"/>
    </row>
    <row r="1690" spans="3:8" x14ac:dyDescent="0.15">
      <c r="C1690" s="26"/>
      <c r="D1690" s="22"/>
      <c r="E1690" s="20"/>
      <c r="F1690" s="20"/>
      <c r="G1690" s="20"/>
      <c r="H1690" s="27"/>
    </row>
    <row r="1691" spans="3:8" x14ac:dyDescent="0.15">
      <c r="C1691" s="26"/>
      <c r="D1691" s="22"/>
      <c r="E1691" s="20"/>
      <c r="F1691" s="20"/>
      <c r="G1691" s="20"/>
      <c r="H1691" s="27"/>
    </row>
    <row r="1692" spans="3:8" x14ac:dyDescent="0.15">
      <c r="C1692" s="26"/>
      <c r="D1692" s="22"/>
      <c r="E1692" s="20"/>
      <c r="F1692" s="20"/>
      <c r="G1692" s="20"/>
      <c r="H1692" s="27"/>
    </row>
    <row r="1693" spans="3:8" x14ac:dyDescent="0.15">
      <c r="C1693" s="26"/>
      <c r="D1693" s="22"/>
      <c r="E1693" s="20"/>
      <c r="F1693" s="20"/>
      <c r="G1693" s="20"/>
      <c r="H1693" s="27"/>
    </row>
    <row r="1694" spans="3:8" x14ac:dyDescent="0.15">
      <c r="C1694" s="26"/>
      <c r="D1694" s="22"/>
      <c r="E1694" s="20"/>
      <c r="F1694" s="20"/>
      <c r="G1694" s="20"/>
      <c r="H1694" s="27"/>
    </row>
    <row r="1695" spans="3:8" x14ac:dyDescent="0.15">
      <c r="C1695" s="26"/>
      <c r="D1695" s="22"/>
      <c r="E1695" s="20"/>
      <c r="F1695" s="20"/>
      <c r="G1695" s="20"/>
      <c r="H1695" s="27"/>
    </row>
    <row r="1696" spans="3:8" x14ac:dyDescent="0.15">
      <c r="C1696" s="26"/>
      <c r="D1696" s="22"/>
      <c r="E1696" s="20"/>
      <c r="F1696" s="20"/>
      <c r="G1696" s="20"/>
      <c r="H1696" s="27"/>
    </row>
    <row r="1697" spans="3:8" x14ac:dyDescent="0.15">
      <c r="C1697" s="26"/>
      <c r="D1697" s="22"/>
      <c r="E1697" s="20"/>
      <c r="F1697" s="20"/>
      <c r="G1697" s="20"/>
      <c r="H1697" s="27"/>
    </row>
    <row r="1698" spans="3:8" x14ac:dyDescent="0.15">
      <c r="C1698" s="26"/>
      <c r="D1698" s="22"/>
      <c r="E1698" s="20"/>
      <c r="F1698" s="20"/>
      <c r="G1698" s="20"/>
      <c r="H1698" s="27"/>
    </row>
    <row r="1699" spans="3:8" x14ac:dyDescent="0.15">
      <c r="C1699" s="26"/>
      <c r="D1699" s="22"/>
      <c r="E1699" s="20"/>
      <c r="F1699" s="20"/>
      <c r="G1699" s="20"/>
      <c r="H1699" s="27"/>
    </row>
    <row r="1700" spans="3:8" x14ac:dyDescent="0.15">
      <c r="C1700" s="26"/>
      <c r="D1700" s="22"/>
      <c r="E1700" s="20"/>
      <c r="F1700" s="20"/>
      <c r="G1700" s="20"/>
      <c r="H1700" s="27"/>
    </row>
    <row r="1701" spans="3:8" x14ac:dyDescent="0.15">
      <c r="C1701" s="26"/>
      <c r="D1701" s="22"/>
      <c r="E1701" s="20"/>
      <c r="F1701" s="20"/>
      <c r="G1701" s="20"/>
      <c r="H1701" s="27"/>
    </row>
    <row r="1702" spans="3:8" x14ac:dyDescent="0.15">
      <c r="C1702" s="26"/>
      <c r="D1702" s="22"/>
      <c r="E1702" s="20"/>
      <c r="F1702" s="20"/>
      <c r="G1702" s="20"/>
      <c r="H1702" s="27"/>
    </row>
    <row r="1703" spans="3:8" x14ac:dyDescent="0.15">
      <c r="C1703" s="26"/>
      <c r="D1703" s="22"/>
      <c r="E1703" s="20"/>
      <c r="F1703" s="20"/>
      <c r="G1703" s="20"/>
      <c r="H1703" s="27"/>
    </row>
    <row r="1704" spans="3:8" x14ac:dyDescent="0.15">
      <c r="C1704" s="26"/>
      <c r="D1704" s="22"/>
      <c r="E1704" s="20"/>
      <c r="F1704" s="20"/>
      <c r="G1704" s="20"/>
      <c r="H1704" s="27"/>
    </row>
    <row r="1705" spans="3:8" x14ac:dyDescent="0.15">
      <c r="C1705" s="26"/>
      <c r="D1705" s="22"/>
      <c r="E1705" s="20"/>
      <c r="F1705" s="20"/>
      <c r="G1705" s="20"/>
      <c r="H1705" s="27"/>
    </row>
    <row r="1706" spans="3:8" x14ac:dyDescent="0.15">
      <c r="C1706" s="26"/>
      <c r="D1706" s="22"/>
      <c r="E1706" s="20"/>
      <c r="F1706" s="20"/>
      <c r="G1706" s="20"/>
      <c r="H1706" s="27"/>
    </row>
    <row r="1707" spans="3:8" x14ac:dyDescent="0.15">
      <c r="C1707" s="26"/>
      <c r="D1707" s="22"/>
      <c r="E1707" s="20"/>
      <c r="F1707" s="20"/>
      <c r="G1707" s="20"/>
      <c r="H1707" s="27"/>
    </row>
    <row r="1708" spans="3:8" x14ac:dyDescent="0.15">
      <c r="C1708" s="26"/>
      <c r="D1708" s="22"/>
      <c r="E1708" s="20"/>
      <c r="F1708" s="20"/>
      <c r="G1708" s="20"/>
      <c r="H1708" s="27"/>
    </row>
    <row r="1709" spans="3:8" x14ac:dyDescent="0.15">
      <c r="C1709" s="26"/>
      <c r="D1709" s="22"/>
      <c r="E1709" s="20"/>
      <c r="F1709" s="20"/>
      <c r="G1709" s="20"/>
      <c r="H1709" s="27"/>
    </row>
    <row r="1710" spans="3:8" x14ac:dyDescent="0.15">
      <c r="C1710" s="26"/>
      <c r="D1710" s="22"/>
      <c r="E1710" s="20"/>
      <c r="F1710" s="20"/>
      <c r="G1710" s="20"/>
      <c r="H1710" s="27"/>
    </row>
    <row r="1711" spans="3:8" x14ac:dyDescent="0.15">
      <c r="C1711" s="26"/>
      <c r="D1711" s="22"/>
      <c r="E1711" s="20"/>
      <c r="F1711" s="20"/>
      <c r="G1711" s="20"/>
      <c r="H1711" s="27"/>
    </row>
    <row r="1712" spans="3:8" x14ac:dyDescent="0.15">
      <c r="C1712" s="26"/>
      <c r="D1712" s="22"/>
      <c r="E1712" s="20"/>
      <c r="F1712" s="20"/>
      <c r="G1712" s="20"/>
      <c r="H1712" s="27"/>
    </row>
    <row r="1713" spans="3:8" x14ac:dyDescent="0.15">
      <c r="C1713" s="26"/>
      <c r="D1713" s="22"/>
      <c r="E1713" s="20"/>
      <c r="F1713" s="20"/>
      <c r="G1713" s="20"/>
      <c r="H1713" s="27"/>
    </row>
    <row r="1714" spans="3:8" x14ac:dyDescent="0.15">
      <c r="C1714" s="26"/>
      <c r="D1714" s="22"/>
      <c r="E1714" s="20"/>
      <c r="F1714" s="20"/>
      <c r="G1714" s="20"/>
      <c r="H1714" s="27"/>
    </row>
    <row r="1715" spans="3:8" x14ac:dyDescent="0.15">
      <c r="C1715" s="26"/>
      <c r="D1715" s="22"/>
      <c r="E1715" s="20"/>
      <c r="F1715" s="20"/>
      <c r="G1715" s="20"/>
      <c r="H1715" s="27"/>
    </row>
    <row r="1716" spans="3:8" x14ac:dyDescent="0.15">
      <c r="C1716" s="26"/>
      <c r="D1716" s="22"/>
      <c r="E1716" s="20"/>
      <c r="F1716" s="20"/>
      <c r="G1716" s="20"/>
      <c r="H1716" s="27"/>
    </row>
    <row r="1717" spans="3:8" x14ac:dyDescent="0.15">
      <c r="C1717" s="26"/>
      <c r="D1717" s="22"/>
      <c r="E1717" s="20"/>
      <c r="F1717" s="20"/>
      <c r="G1717" s="20"/>
      <c r="H1717" s="27"/>
    </row>
    <row r="1718" spans="3:8" x14ac:dyDescent="0.15">
      <c r="C1718" s="26"/>
      <c r="D1718" s="22"/>
      <c r="E1718" s="20"/>
      <c r="F1718" s="20"/>
      <c r="G1718" s="20"/>
      <c r="H1718" s="27"/>
    </row>
    <row r="1719" spans="3:8" x14ac:dyDescent="0.15">
      <c r="C1719" s="26"/>
      <c r="D1719" s="22"/>
      <c r="E1719" s="20"/>
      <c r="F1719" s="20"/>
      <c r="G1719" s="20"/>
      <c r="H1719" s="27"/>
    </row>
    <row r="1720" spans="3:8" x14ac:dyDescent="0.15">
      <c r="C1720" s="26"/>
      <c r="D1720" s="22"/>
      <c r="E1720" s="20"/>
      <c r="F1720" s="20"/>
      <c r="G1720" s="20"/>
      <c r="H1720" s="27"/>
    </row>
    <row r="1721" spans="3:8" x14ac:dyDescent="0.15">
      <c r="C1721" s="26"/>
      <c r="D1721" s="22"/>
      <c r="E1721" s="20"/>
      <c r="F1721" s="20"/>
      <c r="G1721" s="20"/>
      <c r="H1721" s="27"/>
    </row>
    <row r="1722" spans="3:8" x14ac:dyDescent="0.15">
      <c r="C1722" s="26"/>
      <c r="D1722" s="22"/>
      <c r="E1722" s="20"/>
      <c r="F1722" s="20"/>
      <c r="G1722" s="20"/>
      <c r="H1722" s="27"/>
    </row>
    <row r="1723" spans="3:8" x14ac:dyDescent="0.15">
      <c r="C1723" s="26"/>
      <c r="D1723" s="22"/>
      <c r="E1723" s="20"/>
      <c r="F1723" s="20"/>
      <c r="G1723" s="20"/>
      <c r="H1723" s="27"/>
    </row>
    <row r="1724" spans="3:8" x14ac:dyDescent="0.15">
      <c r="C1724" s="26"/>
      <c r="D1724" s="22"/>
      <c r="E1724" s="20"/>
      <c r="F1724" s="20"/>
      <c r="G1724" s="20"/>
      <c r="H1724" s="27"/>
    </row>
    <row r="1725" spans="3:8" x14ac:dyDescent="0.15">
      <c r="C1725" s="26"/>
      <c r="D1725" s="22"/>
      <c r="E1725" s="20"/>
      <c r="F1725" s="20"/>
      <c r="G1725" s="20"/>
      <c r="H1725" s="27"/>
    </row>
    <row r="1726" spans="3:8" x14ac:dyDescent="0.15">
      <c r="C1726" s="26"/>
      <c r="D1726" s="22"/>
      <c r="E1726" s="20"/>
      <c r="F1726" s="20"/>
      <c r="G1726" s="20"/>
      <c r="H1726" s="27"/>
    </row>
    <row r="1727" spans="3:8" x14ac:dyDescent="0.15">
      <c r="C1727" s="26"/>
      <c r="D1727" s="22"/>
      <c r="E1727" s="20"/>
      <c r="F1727" s="20"/>
      <c r="G1727" s="20"/>
      <c r="H1727" s="27"/>
    </row>
    <row r="1728" spans="3:8" x14ac:dyDescent="0.15">
      <c r="C1728" s="26"/>
      <c r="D1728" s="22"/>
      <c r="E1728" s="20"/>
      <c r="F1728" s="20"/>
      <c r="G1728" s="20"/>
      <c r="H1728" s="27"/>
    </row>
    <row r="1729" spans="3:8" x14ac:dyDescent="0.15">
      <c r="C1729" s="26"/>
      <c r="D1729" s="22"/>
      <c r="E1729" s="20"/>
      <c r="F1729" s="20"/>
      <c r="G1729" s="20"/>
      <c r="H1729" s="27"/>
    </row>
    <row r="1730" spans="3:8" x14ac:dyDescent="0.15">
      <c r="C1730" s="26"/>
      <c r="D1730" s="22"/>
      <c r="E1730" s="20"/>
      <c r="F1730" s="20"/>
      <c r="G1730" s="20"/>
      <c r="H1730" s="27"/>
    </row>
    <row r="1731" spans="3:8" x14ac:dyDescent="0.15">
      <c r="C1731" s="26"/>
      <c r="D1731" s="22"/>
      <c r="E1731" s="20"/>
      <c r="F1731" s="20"/>
      <c r="G1731" s="20"/>
      <c r="H1731" s="27"/>
    </row>
    <row r="1732" spans="3:8" x14ac:dyDescent="0.15">
      <c r="C1732" s="26"/>
      <c r="D1732" s="22"/>
      <c r="E1732" s="20"/>
      <c r="F1732" s="20"/>
      <c r="G1732" s="20"/>
      <c r="H1732" s="27"/>
    </row>
    <row r="1733" spans="3:8" x14ac:dyDescent="0.15">
      <c r="C1733" s="26"/>
      <c r="D1733" s="22"/>
      <c r="E1733" s="20"/>
      <c r="F1733" s="20"/>
      <c r="G1733" s="20"/>
      <c r="H1733" s="27"/>
    </row>
    <row r="1734" spans="3:8" x14ac:dyDescent="0.15">
      <c r="C1734" s="26"/>
      <c r="D1734" s="22"/>
      <c r="E1734" s="20"/>
      <c r="F1734" s="20"/>
      <c r="G1734" s="20"/>
      <c r="H1734" s="27"/>
    </row>
    <row r="1735" spans="3:8" x14ac:dyDescent="0.15">
      <c r="C1735" s="26"/>
      <c r="D1735" s="22"/>
      <c r="E1735" s="20"/>
      <c r="F1735" s="20"/>
      <c r="G1735" s="20"/>
      <c r="H1735" s="27"/>
    </row>
    <row r="1736" spans="3:8" x14ac:dyDescent="0.15">
      <c r="C1736" s="26"/>
      <c r="D1736" s="22"/>
      <c r="E1736" s="20"/>
      <c r="F1736" s="20"/>
      <c r="G1736" s="20"/>
      <c r="H1736" s="27"/>
    </row>
    <row r="1737" spans="3:8" x14ac:dyDescent="0.15">
      <c r="C1737" s="26"/>
      <c r="D1737" s="22"/>
      <c r="E1737" s="20"/>
      <c r="F1737" s="20"/>
      <c r="G1737" s="20"/>
      <c r="H1737" s="27"/>
    </row>
    <row r="1738" spans="3:8" x14ac:dyDescent="0.15">
      <c r="C1738" s="26"/>
      <c r="D1738" s="22"/>
      <c r="E1738" s="20"/>
      <c r="F1738" s="20"/>
      <c r="G1738" s="20"/>
      <c r="H1738" s="27"/>
    </row>
    <row r="1739" spans="3:8" x14ac:dyDescent="0.15">
      <c r="C1739" s="26"/>
      <c r="D1739" s="22"/>
      <c r="E1739" s="20"/>
      <c r="F1739" s="20"/>
      <c r="G1739" s="20"/>
      <c r="H1739" s="27"/>
    </row>
    <row r="1740" spans="3:8" x14ac:dyDescent="0.15">
      <c r="C1740" s="26"/>
      <c r="D1740" s="22"/>
      <c r="E1740" s="20"/>
      <c r="F1740" s="20"/>
      <c r="G1740" s="20"/>
      <c r="H1740" s="27"/>
    </row>
    <row r="1741" spans="3:8" x14ac:dyDescent="0.15">
      <c r="C1741" s="26"/>
      <c r="D1741" s="22"/>
      <c r="E1741" s="20"/>
      <c r="F1741" s="20"/>
      <c r="G1741" s="20"/>
      <c r="H1741" s="27"/>
    </row>
    <row r="1742" spans="3:8" x14ac:dyDescent="0.15">
      <c r="C1742" s="26"/>
      <c r="D1742" s="22"/>
      <c r="E1742" s="20"/>
      <c r="F1742" s="20"/>
      <c r="G1742" s="20"/>
      <c r="H1742" s="27"/>
    </row>
    <row r="1743" spans="3:8" x14ac:dyDescent="0.15">
      <c r="C1743" s="26"/>
      <c r="D1743" s="22"/>
      <c r="E1743" s="20"/>
      <c r="F1743" s="20"/>
      <c r="G1743" s="20"/>
      <c r="H1743" s="27"/>
    </row>
    <row r="1744" spans="3:8" x14ac:dyDescent="0.15">
      <c r="C1744" s="26"/>
      <c r="D1744" s="22"/>
      <c r="E1744" s="20"/>
      <c r="F1744" s="20"/>
      <c r="G1744" s="20"/>
      <c r="H1744" s="27"/>
    </row>
    <row r="1745" spans="3:8" x14ac:dyDescent="0.15">
      <c r="C1745" s="26"/>
      <c r="D1745" s="22"/>
      <c r="E1745" s="20"/>
      <c r="F1745" s="20"/>
      <c r="G1745" s="20"/>
      <c r="H1745" s="27"/>
    </row>
    <row r="1746" spans="3:8" x14ac:dyDescent="0.15">
      <c r="C1746" s="26"/>
      <c r="D1746" s="22"/>
      <c r="E1746" s="20"/>
      <c r="F1746" s="20"/>
      <c r="G1746" s="20"/>
      <c r="H1746" s="27"/>
    </row>
    <row r="1747" spans="3:8" x14ac:dyDescent="0.15">
      <c r="C1747" s="26"/>
      <c r="D1747" s="22"/>
      <c r="E1747" s="20"/>
      <c r="F1747" s="20"/>
      <c r="G1747" s="20"/>
      <c r="H1747" s="27"/>
    </row>
    <row r="1748" spans="3:8" x14ac:dyDescent="0.15">
      <c r="C1748" s="26"/>
      <c r="D1748" s="22"/>
      <c r="E1748" s="20"/>
      <c r="F1748" s="20"/>
      <c r="G1748" s="20"/>
      <c r="H1748" s="27"/>
    </row>
    <row r="1749" spans="3:8" x14ac:dyDescent="0.15">
      <c r="C1749" s="26"/>
      <c r="D1749" s="22"/>
      <c r="E1749" s="20"/>
      <c r="F1749" s="20"/>
      <c r="G1749" s="20"/>
      <c r="H1749" s="27"/>
    </row>
    <row r="1750" spans="3:8" x14ac:dyDescent="0.15">
      <c r="C1750" s="26"/>
      <c r="D1750" s="22"/>
      <c r="E1750" s="20"/>
      <c r="F1750" s="20"/>
      <c r="G1750" s="20"/>
      <c r="H1750" s="27"/>
    </row>
    <row r="1751" spans="3:8" x14ac:dyDescent="0.15">
      <c r="C1751" s="26"/>
      <c r="D1751" s="22"/>
      <c r="E1751" s="20"/>
      <c r="F1751" s="20"/>
      <c r="G1751" s="20"/>
      <c r="H1751" s="27"/>
    </row>
    <row r="1752" spans="3:8" x14ac:dyDescent="0.15">
      <c r="C1752" s="26"/>
      <c r="D1752" s="22"/>
      <c r="E1752" s="20"/>
      <c r="F1752" s="20"/>
      <c r="G1752" s="20"/>
      <c r="H1752" s="27"/>
    </row>
    <row r="1753" spans="3:8" x14ac:dyDescent="0.15">
      <c r="C1753" s="26"/>
      <c r="D1753" s="22"/>
      <c r="E1753" s="20"/>
      <c r="F1753" s="20"/>
      <c r="G1753" s="20"/>
      <c r="H1753" s="27"/>
    </row>
    <row r="1754" spans="3:8" x14ac:dyDescent="0.15">
      <c r="C1754" s="26"/>
      <c r="D1754" s="22"/>
      <c r="E1754" s="20"/>
      <c r="F1754" s="20"/>
      <c r="G1754" s="20"/>
      <c r="H1754" s="27"/>
    </row>
    <row r="1755" spans="3:8" x14ac:dyDescent="0.15">
      <c r="C1755" s="26"/>
      <c r="D1755" s="22"/>
      <c r="E1755" s="20"/>
      <c r="F1755" s="20"/>
      <c r="G1755" s="20"/>
      <c r="H1755" s="27"/>
    </row>
    <row r="1756" spans="3:8" x14ac:dyDescent="0.15">
      <c r="C1756" s="26"/>
      <c r="D1756" s="22"/>
      <c r="E1756" s="20"/>
      <c r="F1756" s="20"/>
      <c r="G1756" s="20"/>
      <c r="H1756" s="27"/>
    </row>
    <row r="1757" spans="3:8" x14ac:dyDescent="0.15">
      <c r="C1757" s="26"/>
      <c r="D1757" s="22"/>
      <c r="E1757" s="20"/>
      <c r="F1757" s="20"/>
      <c r="G1757" s="20"/>
      <c r="H1757" s="27"/>
    </row>
    <row r="1758" spans="3:8" x14ac:dyDescent="0.15">
      <c r="C1758" s="26"/>
      <c r="D1758" s="22"/>
      <c r="E1758" s="20"/>
      <c r="F1758" s="20"/>
      <c r="G1758" s="20"/>
      <c r="H1758" s="27"/>
    </row>
    <row r="1759" spans="3:8" x14ac:dyDescent="0.15">
      <c r="C1759" s="26"/>
      <c r="D1759" s="22"/>
      <c r="E1759" s="20"/>
      <c r="F1759" s="20"/>
      <c r="G1759" s="20"/>
      <c r="H1759" s="27"/>
    </row>
    <row r="1760" spans="3:8" x14ac:dyDescent="0.15">
      <c r="C1760" s="26"/>
      <c r="D1760" s="22"/>
      <c r="E1760" s="20"/>
      <c r="F1760" s="20"/>
      <c r="G1760" s="20"/>
      <c r="H1760" s="27"/>
    </row>
    <row r="1761" spans="3:8" x14ac:dyDescent="0.15">
      <c r="C1761" s="26"/>
      <c r="D1761" s="22"/>
      <c r="E1761" s="20"/>
      <c r="F1761" s="20"/>
      <c r="G1761" s="20"/>
      <c r="H1761" s="27"/>
    </row>
    <row r="1762" spans="3:8" x14ac:dyDescent="0.15">
      <c r="C1762" s="26"/>
      <c r="D1762" s="22"/>
      <c r="E1762" s="20"/>
      <c r="F1762" s="20"/>
      <c r="G1762" s="20"/>
      <c r="H1762" s="27"/>
    </row>
    <row r="1763" spans="3:8" x14ac:dyDescent="0.15">
      <c r="C1763" s="26"/>
      <c r="D1763" s="22"/>
      <c r="E1763" s="20"/>
      <c r="F1763" s="20"/>
      <c r="G1763" s="20"/>
      <c r="H1763" s="27"/>
    </row>
    <row r="1764" spans="3:8" x14ac:dyDescent="0.15">
      <c r="C1764" s="26"/>
      <c r="D1764" s="22"/>
      <c r="E1764" s="20"/>
      <c r="F1764" s="20"/>
      <c r="G1764" s="20"/>
      <c r="H1764" s="27"/>
    </row>
    <row r="1765" spans="3:8" x14ac:dyDescent="0.15">
      <c r="C1765" s="26"/>
      <c r="D1765" s="22"/>
      <c r="E1765" s="20"/>
      <c r="F1765" s="20"/>
      <c r="G1765" s="20"/>
      <c r="H1765" s="27"/>
    </row>
    <row r="1766" spans="3:8" x14ac:dyDescent="0.15">
      <c r="C1766" s="26"/>
      <c r="D1766" s="22"/>
      <c r="E1766" s="20"/>
      <c r="F1766" s="20"/>
      <c r="G1766" s="20"/>
      <c r="H1766" s="27"/>
    </row>
    <row r="1767" spans="3:8" x14ac:dyDescent="0.15">
      <c r="C1767" s="26"/>
      <c r="D1767" s="22"/>
      <c r="E1767" s="20"/>
      <c r="F1767" s="20"/>
      <c r="G1767" s="20"/>
      <c r="H1767" s="27"/>
    </row>
    <row r="1768" spans="3:8" x14ac:dyDescent="0.15">
      <c r="C1768" s="26"/>
      <c r="D1768" s="22"/>
      <c r="E1768" s="20"/>
      <c r="F1768" s="20"/>
      <c r="G1768" s="20"/>
      <c r="H1768" s="27"/>
    </row>
    <row r="1769" spans="3:8" x14ac:dyDescent="0.15">
      <c r="C1769" s="26"/>
      <c r="D1769" s="22"/>
      <c r="E1769" s="20"/>
      <c r="F1769" s="20"/>
      <c r="G1769" s="20"/>
      <c r="H1769" s="27"/>
    </row>
    <row r="1770" spans="3:8" x14ac:dyDescent="0.15">
      <c r="C1770" s="26"/>
      <c r="D1770" s="22"/>
      <c r="E1770" s="20"/>
      <c r="F1770" s="20"/>
      <c r="G1770" s="20"/>
      <c r="H1770" s="27"/>
    </row>
    <row r="1771" spans="3:8" x14ac:dyDescent="0.15">
      <c r="C1771" s="26"/>
      <c r="D1771" s="22"/>
      <c r="E1771" s="20"/>
      <c r="F1771" s="20"/>
      <c r="G1771" s="20"/>
      <c r="H1771" s="27"/>
    </row>
    <row r="1772" spans="3:8" x14ac:dyDescent="0.15">
      <c r="C1772" s="26"/>
      <c r="D1772" s="22"/>
      <c r="E1772" s="20"/>
      <c r="F1772" s="20"/>
      <c r="G1772" s="20"/>
      <c r="H1772" s="27"/>
    </row>
    <row r="1773" spans="3:8" x14ac:dyDescent="0.15">
      <c r="C1773" s="26"/>
      <c r="D1773" s="22"/>
      <c r="E1773" s="20"/>
      <c r="F1773" s="20"/>
      <c r="G1773" s="20"/>
      <c r="H1773" s="27"/>
    </row>
    <row r="1774" spans="3:8" x14ac:dyDescent="0.15">
      <c r="C1774" s="26"/>
      <c r="D1774" s="22"/>
      <c r="E1774" s="20"/>
      <c r="F1774" s="20"/>
      <c r="G1774" s="20"/>
      <c r="H1774" s="27"/>
    </row>
    <row r="1775" spans="3:8" x14ac:dyDescent="0.15">
      <c r="C1775" s="26"/>
      <c r="D1775" s="22"/>
      <c r="E1775" s="20"/>
      <c r="F1775" s="20"/>
      <c r="G1775" s="20"/>
      <c r="H1775" s="27"/>
    </row>
    <row r="1776" spans="3:8" x14ac:dyDescent="0.15">
      <c r="C1776" s="26"/>
      <c r="D1776" s="22"/>
      <c r="E1776" s="20"/>
      <c r="F1776" s="20"/>
      <c r="G1776" s="20"/>
      <c r="H1776" s="27"/>
    </row>
    <row r="1777" spans="3:8" x14ac:dyDescent="0.15">
      <c r="C1777" s="26"/>
      <c r="D1777" s="22"/>
      <c r="E1777" s="20"/>
      <c r="F1777" s="20"/>
      <c r="G1777" s="20"/>
      <c r="H1777" s="27"/>
    </row>
    <row r="1778" spans="3:8" x14ac:dyDescent="0.15">
      <c r="C1778" s="26"/>
      <c r="D1778" s="22"/>
      <c r="E1778" s="20"/>
      <c r="F1778" s="20"/>
      <c r="G1778" s="20"/>
      <c r="H1778" s="27"/>
    </row>
    <row r="1779" spans="3:8" x14ac:dyDescent="0.15">
      <c r="C1779" s="26"/>
      <c r="D1779" s="22"/>
      <c r="E1779" s="20"/>
      <c r="F1779" s="20"/>
      <c r="G1779" s="20"/>
      <c r="H1779" s="27"/>
    </row>
    <row r="1780" spans="3:8" x14ac:dyDescent="0.15">
      <c r="C1780" s="26"/>
      <c r="D1780" s="22"/>
      <c r="E1780" s="20"/>
      <c r="F1780" s="20"/>
      <c r="G1780" s="20"/>
      <c r="H1780" s="27"/>
    </row>
    <row r="1781" spans="3:8" x14ac:dyDescent="0.15">
      <c r="C1781" s="26"/>
      <c r="D1781" s="22"/>
      <c r="E1781" s="20"/>
      <c r="F1781" s="20"/>
      <c r="G1781" s="20"/>
      <c r="H1781" s="27"/>
    </row>
    <row r="1782" spans="3:8" x14ac:dyDescent="0.15">
      <c r="C1782" s="26"/>
      <c r="D1782" s="22"/>
      <c r="E1782" s="20"/>
      <c r="F1782" s="20"/>
      <c r="G1782" s="20"/>
      <c r="H1782" s="27"/>
    </row>
    <row r="1783" spans="3:8" x14ac:dyDescent="0.15">
      <c r="C1783" s="26"/>
      <c r="D1783" s="22"/>
      <c r="E1783" s="20"/>
      <c r="F1783" s="20"/>
      <c r="G1783" s="20"/>
      <c r="H1783" s="27"/>
    </row>
    <row r="1784" spans="3:8" x14ac:dyDescent="0.15">
      <c r="C1784" s="26"/>
      <c r="D1784" s="22"/>
      <c r="E1784" s="20"/>
      <c r="F1784" s="20"/>
      <c r="G1784" s="20"/>
      <c r="H1784" s="27"/>
    </row>
    <row r="1785" spans="3:8" x14ac:dyDescent="0.15">
      <c r="C1785" s="26"/>
      <c r="D1785" s="22"/>
      <c r="E1785" s="20"/>
      <c r="F1785" s="20"/>
      <c r="G1785" s="20"/>
      <c r="H1785" s="27"/>
    </row>
    <row r="1786" spans="3:8" x14ac:dyDescent="0.15">
      <c r="C1786" s="26"/>
      <c r="D1786" s="22"/>
      <c r="E1786" s="20"/>
      <c r="F1786" s="20"/>
      <c r="G1786" s="20"/>
      <c r="H1786" s="27"/>
    </row>
    <row r="1787" spans="3:8" x14ac:dyDescent="0.15">
      <c r="C1787" s="26"/>
      <c r="D1787" s="22"/>
      <c r="E1787" s="20"/>
      <c r="F1787" s="20"/>
      <c r="G1787" s="20"/>
      <c r="H1787" s="27"/>
    </row>
    <row r="1788" spans="3:8" x14ac:dyDescent="0.15">
      <c r="C1788" s="26"/>
      <c r="D1788" s="22"/>
      <c r="E1788" s="20"/>
      <c r="F1788" s="20"/>
      <c r="G1788" s="20"/>
      <c r="H1788" s="27"/>
    </row>
    <row r="1789" spans="3:8" x14ac:dyDescent="0.15">
      <c r="C1789" s="26"/>
      <c r="D1789" s="22"/>
      <c r="E1789" s="20"/>
      <c r="F1789" s="20"/>
      <c r="G1789" s="20"/>
      <c r="H1789" s="27"/>
    </row>
    <row r="1790" spans="3:8" x14ac:dyDescent="0.15">
      <c r="C1790" s="26"/>
      <c r="D1790" s="22"/>
      <c r="E1790" s="20"/>
      <c r="F1790" s="20"/>
      <c r="G1790" s="20"/>
      <c r="H1790" s="27"/>
    </row>
    <row r="1791" spans="3:8" x14ac:dyDescent="0.15">
      <c r="C1791" s="26"/>
      <c r="D1791" s="22"/>
      <c r="E1791" s="20"/>
      <c r="F1791" s="20"/>
      <c r="G1791" s="20"/>
      <c r="H1791" s="27"/>
    </row>
    <row r="1792" spans="3:8" x14ac:dyDescent="0.15">
      <c r="C1792" s="26"/>
      <c r="D1792" s="22"/>
      <c r="E1792" s="20"/>
      <c r="F1792" s="20"/>
      <c r="G1792" s="20"/>
      <c r="H1792" s="27"/>
    </row>
    <row r="1793" spans="3:8" x14ac:dyDescent="0.15">
      <c r="C1793" s="26"/>
      <c r="D1793" s="22"/>
      <c r="E1793" s="20"/>
      <c r="F1793" s="20"/>
      <c r="G1793" s="20"/>
      <c r="H1793" s="27"/>
    </row>
    <row r="1794" spans="3:8" x14ac:dyDescent="0.15">
      <c r="C1794" s="26"/>
      <c r="D1794" s="22"/>
      <c r="E1794" s="20"/>
      <c r="F1794" s="20"/>
      <c r="G1794" s="20"/>
      <c r="H1794" s="27"/>
    </row>
    <row r="1795" spans="3:8" x14ac:dyDescent="0.15">
      <c r="C1795" s="26"/>
      <c r="D1795" s="22"/>
      <c r="E1795" s="20"/>
      <c r="F1795" s="20"/>
      <c r="G1795" s="20"/>
      <c r="H1795" s="27"/>
    </row>
    <row r="1796" spans="3:8" x14ac:dyDescent="0.15">
      <c r="C1796" s="26"/>
      <c r="D1796" s="22"/>
      <c r="E1796" s="20"/>
      <c r="F1796" s="20"/>
      <c r="G1796" s="20"/>
      <c r="H1796" s="27"/>
    </row>
    <row r="1797" spans="3:8" x14ac:dyDescent="0.15">
      <c r="C1797" s="26"/>
      <c r="D1797" s="22"/>
      <c r="E1797" s="20"/>
      <c r="F1797" s="20"/>
      <c r="G1797" s="20"/>
      <c r="H1797" s="27"/>
    </row>
    <row r="1798" spans="3:8" x14ac:dyDescent="0.15">
      <c r="C1798" s="26"/>
      <c r="D1798" s="22"/>
      <c r="E1798" s="20"/>
      <c r="F1798" s="20"/>
      <c r="G1798" s="20"/>
      <c r="H1798" s="27"/>
    </row>
    <row r="1799" spans="3:8" x14ac:dyDescent="0.15">
      <c r="C1799" s="26"/>
      <c r="D1799" s="22"/>
      <c r="E1799" s="20"/>
      <c r="F1799" s="20"/>
      <c r="G1799" s="20"/>
      <c r="H1799" s="27"/>
    </row>
    <row r="1800" spans="3:8" x14ac:dyDescent="0.15">
      <c r="C1800" s="26"/>
      <c r="D1800" s="22"/>
      <c r="E1800" s="20"/>
      <c r="F1800" s="20"/>
      <c r="G1800" s="20"/>
      <c r="H1800" s="27"/>
    </row>
    <row r="1801" spans="3:8" x14ac:dyDescent="0.15">
      <c r="C1801" s="26"/>
      <c r="D1801" s="22"/>
      <c r="E1801" s="20"/>
      <c r="F1801" s="20"/>
      <c r="G1801" s="20"/>
      <c r="H1801" s="27"/>
    </row>
    <row r="1802" spans="3:8" x14ac:dyDescent="0.15">
      <c r="C1802" s="26"/>
      <c r="D1802" s="22"/>
      <c r="E1802" s="20"/>
      <c r="F1802" s="20"/>
      <c r="G1802" s="20"/>
      <c r="H1802" s="27"/>
    </row>
    <row r="1803" spans="3:8" x14ac:dyDescent="0.15">
      <c r="C1803" s="26"/>
      <c r="D1803" s="22"/>
      <c r="E1803" s="20"/>
      <c r="F1803" s="20"/>
      <c r="G1803" s="20"/>
      <c r="H1803" s="27"/>
    </row>
    <row r="1804" spans="3:8" x14ac:dyDescent="0.15">
      <c r="C1804" s="26"/>
      <c r="D1804" s="22"/>
      <c r="E1804" s="20"/>
      <c r="F1804" s="20"/>
      <c r="G1804" s="20"/>
      <c r="H1804" s="27"/>
    </row>
    <row r="1805" spans="3:8" x14ac:dyDescent="0.15">
      <c r="C1805" s="26"/>
      <c r="D1805" s="22"/>
      <c r="E1805" s="20"/>
      <c r="F1805" s="20"/>
      <c r="G1805" s="20"/>
      <c r="H1805" s="27"/>
    </row>
    <row r="1806" spans="3:8" x14ac:dyDescent="0.15">
      <c r="C1806" s="26"/>
      <c r="D1806" s="22"/>
      <c r="E1806" s="20"/>
      <c r="F1806" s="20"/>
      <c r="G1806" s="20"/>
      <c r="H1806" s="27"/>
    </row>
    <row r="1807" spans="3:8" x14ac:dyDescent="0.15">
      <c r="C1807" s="26"/>
      <c r="D1807" s="22"/>
      <c r="E1807" s="20"/>
      <c r="F1807" s="20"/>
      <c r="G1807" s="20"/>
      <c r="H1807" s="27"/>
    </row>
    <row r="1808" spans="3:8" x14ac:dyDescent="0.15">
      <c r="C1808" s="26"/>
      <c r="D1808" s="22"/>
      <c r="E1808" s="20"/>
      <c r="F1808" s="20"/>
      <c r="G1808" s="20"/>
      <c r="H1808" s="27"/>
    </row>
    <row r="1809" spans="3:8" x14ac:dyDescent="0.15">
      <c r="C1809" s="26"/>
      <c r="D1809" s="22"/>
      <c r="E1809" s="20"/>
      <c r="F1809" s="20"/>
      <c r="G1809" s="20"/>
      <c r="H1809" s="27"/>
    </row>
    <row r="1810" spans="3:8" x14ac:dyDescent="0.15">
      <c r="C1810" s="26"/>
      <c r="D1810" s="22"/>
      <c r="E1810" s="20"/>
      <c r="F1810" s="20"/>
      <c r="G1810" s="20"/>
      <c r="H1810" s="27"/>
    </row>
    <row r="1811" spans="3:8" x14ac:dyDescent="0.15">
      <c r="C1811" s="26"/>
      <c r="D1811" s="22"/>
      <c r="E1811" s="20"/>
      <c r="F1811" s="20"/>
      <c r="G1811" s="20"/>
      <c r="H1811" s="27"/>
    </row>
    <row r="1812" spans="3:8" x14ac:dyDescent="0.15">
      <c r="C1812" s="26"/>
      <c r="D1812" s="22"/>
      <c r="E1812" s="20"/>
      <c r="F1812" s="20"/>
      <c r="G1812" s="20"/>
      <c r="H1812" s="27"/>
    </row>
    <row r="1813" spans="3:8" x14ac:dyDescent="0.15">
      <c r="C1813" s="26"/>
      <c r="D1813" s="22"/>
      <c r="E1813" s="20"/>
      <c r="F1813" s="20"/>
      <c r="G1813" s="20"/>
      <c r="H1813" s="27"/>
    </row>
    <row r="1814" spans="3:8" x14ac:dyDescent="0.15">
      <c r="C1814" s="26"/>
      <c r="D1814" s="22"/>
      <c r="E1814" s="20"/>
      <c r="F1814" s="20"/>
      <c r="G1814" s="20"/>
      <c r="H1814" s="27"/>
    </row>
    <row r="1815" spans="3:8" x14ac:dyDescent="0.15">
      <c r="C1815" s="26"/>
      <c r="D1815" s="22"/>
      <c r="E1815" s="20"/>
      <c r="F1815" s="20"/>
      <c r="G1815" s="20"/>
      <c r="H1815" s="27"/>
    </row>
    <row r="1816" spans="3:8" x14ac:dyDescent="0.15">
      <c r="C1816" s="26"/>
      <c r="D1816" s="22"/>
      <c r="E1816" s="20"/>
      <c r="F1816" s="20"/>
      <c r="G1816" s="20"/>
      <c r="H1816" s="27"/>
    </row>
    <row r="1817" spans="3:8" x14ac:dyDescent="0.15">
      <c r="C1817" s="26"/>
      <c r="D1817" s="22"/>
      <c r="E1817" s="20"/>
      <c r="F1817" s="20"/>
      <c r="G1817" s="20"/>
      <c r="H1817" s="27"/>
    </row>
    <row r="1818" spans="3:8" x14ac:dyDescent="0.15">
      <c r="C1818" s="26"/>
      <c r="D1818" s="22"/>
      <c r="E1818" s="20"/>
      <c r="F1818" s="20"/>
      <c r="G1818" s="20"/>
      <c r="H1818" s="27"/>
    </row>
    <row r="1819" spans="3:8" x14ac:dyDescent="0.15">
      <c r="C1819" s="26"/>
      <c r="D1819" s="22"/>
      <c r="E1819" s="20"/>
      <c r="F1819" s="20"/>
      <c r="G1819" s="20"/>
      <c r="H1819" s="27"/>
    </row>
    <row r="1820" spans="3:8" x14ac:dyDescent="0.15">
      <c r="C1820" s="26"/>
      <c r="D1820" s="22"/>
      <c r="E1820" s="20"/>
      <c r="F1820" s="20"/>
      <c r="G1820" s="20"/>
      <c r="H1820" s="27"/>
    </row>
    <row r="1821" spans="3:8" x14ac:dyDescent="0.15">
      <c r="C1821" s="26"/>
      <c r="D1821" s="22"/>
      <c r="E1821" s="20"/>
      <c r="F1821" s="20"/>
      <c r="G1821" s="20"/>
      <c r="H1821" s="27"/>
    </row>
    <row r="1822" spans="3:8" x14ac:dyDescent="0.15">
      <c r="C1822" s="26"/>
      <c r="D1822" s="22"/>
      <c r="E1822" s="20"/>
      <c r="F1822" s="20"/>
      <c r="G1822" s="20"/>
      <c r="H1822" s="27"/>
    </row>
    <row r="1823" spans="3:8" x14ac:dyDescent="0.15">
      <c r="C1823" s="26"/>
      <c r="D1823" s="22"/>
      <c r="E1823" s="20"/>
      <c r="F1823" s="20"/>
      <c r="G1823" s="20"/>
      <c r="H1823" s="27"/>
    </row>
    <row r="1824" spans="3:8" x14ac:dyDescent="0.15">
      <c r="C1824" s="26"/>
      <c r="D1824" s="22"/>
      <c r="E1824" s="20"/>
      <c r="F1824" s="20"/>
      <c r="G1824" s="20"/>
      <c r="H1824" s="27"/>
    </row>
    <row r="1825" spans="3:8" x14ac:dyDescent="0.15">
      <c r="C1825" s="26"/>
      <c r="D1825" s="22"/>
      <c r="E1825" s="20"/>
      <c r="F1825" s="20"/>
      <c r="G1825" s="20"/>
      <c r="H1825" s="27"/>
    </row>
    <row r="1826" spans="3:8" x14ac:dyDescent="0.15">
      <c r="C1826" s="26"/>
      <c r="D1826" s="22"/>
      <c r="E1826" s="20"/>
      <c r="F1826" s="20"/>
      <c r="G1826" s="20"/>
      <c r="H1826" s="27"/>
    </row>
    <row r="1827" spans="3:8" x14ac:dyDescent="0.15">
      <c r="C1827" s="26"/>
      <c r="D1827" s="22"/>
      <c r="E1827" s="20"/>
      <c r="F1827" s="20"/>
      <c r="G1827" s="20"/>
      <c r="H1827" s="27"/>
    </row>
    <row r="1828" spans="3:8" x14ac:dyDescent="0.15">
      <c r="C1828" s="26"/>
      <c r="D1828" s="22"/>
      <c r="E1828" s="20"/>
      <c r="F1828" s="20"/>
      <c r="G1828" s="20"/>
      <c r="H1828" s="27"/>
    </row>
    <row r="1829" spans="3:8" x14ac:dyDescent="0.15">
      <c r="C1829" s="26"/>
      <c r="D1829" s="22"/>
      <c r="E1829" s="20"/>
      <c r="F1829" s="20"/>
      <c r="G1829" s="20"/>
      <c r="H1829" s="27"/>
    </row>
    <row r="1830" spans="3:8" x14ac:dyDescent="0.15">
      <c r="C1830" s="26"/>
      <c r="D1830" s="22"/>
      <c r="E1830" s="20"/>
      <c r="F1830" s="20"/>
      <c r="G1830" s="20"/>
      <c r="H1830" s="27"/>
    </row>
    <row r="1831" spans="3:8" x14ac:dyDescent="0.15">
      <c r="C1831" s="26"/>
      <c r="D1831" s="22"/>
      <c r="E1831" s="20"/>
      <c r="F1831" s="20"/>
      <c r="G1831" s="20"/>
      <c r="H1831" s="27"/>
    </row>
    <row r="1832" spans="3:8" x14ac:dyDescent="0.15">
      <c r="C1832" s="26"/>
      <c r="D1832" s="22"/>
      <c r="E1832" s="20"/>
      <c r="F1832" s="20"/>
      <c r="G1832" s="20"/>
      <c r="H1832" s="27"/>
    </row>
    <row r="1833" spans="3:8" x14ac:dyDescent="0.15">
      <c r="C1833" s="26"/>
      <c r="D1833" s="22"/>
      <c r="E1833" s="20"/>
      <c r="F1833" s="20"/>
      <c r="G1833" s="20"/>
      <c r="H1833" s="27"/>
    </row>
    <row r="1834" spans="3:8" x14ac:dyDescent="0.15">
      <c r="C1834" s="26"/>
      <c r="D1834" s="22"/>
      <c r="E1834" s="20"/>
      <c r="F1834" s="20"/>
      <c r="G1834" s="20"/>
      <c r="H1834" s="27"/>
    </row>
    <row r="1835" spans="3:8" x14ac:dyDescent="0.15">
      <c r="C1835" s="26"/>
      <c r="D1835" s="22"/>
      <c r="E1835" s="20"/>
      <c r="F1835" s="20"/>
      <c r="G1835" s="20"/>
      <c r="H1835" s="27"/>
    </row>
    <row r="1836" spans="3:8" x14ac:dyDescent="0.15">
      <c r="C1836" s="26"/>
      <c r="D1836" s="22"/>
      <c r="E1836" s="20"/>
      <c r="F1836" s="20"/>
      <c r="G1836" s="20"/>
      <c r="H1836" s="27"/>
    </row>
    <row r="1837" spans="3:8" x14ac:dyDescent="0.15">
      <c r="C1837" s="26"/>
      <c r="D1837" s="22"/>
      <c r="E1837" s="20"/>
      <c r="F1837" s="20"/>
      <c r="G1837" s="20"/>
      <c r="H1837" s="27"/>
    </row>
    <row r="1838" spans="3:8" x14ac:dyDescent="0.15">
      <c r="C1838" s="26"/>
      <c r="D1838" s="22"/>
      <c r="E1838" s="20"/>
      <c r="F1838" s="20"/>
      <c r="G1838" s="20"/>
      <c r="H1838" s="27"/>
    </row>
    <row r="1839" spans="3:8" x14ac:dyDescent="0.15">
      <c r="C1839" s="26"/>
      <c r="D1839" s="22"/>
      <c r="E1839" s="20"/>
      <c r="F1839" s="20"/>
      <c r="G1839" s="20"/>
      <c r="H1839" s="27"/>
    </row>
    <row r="1840" spans="3:8" x14ac:dyDescent="0.15">
      <c r="C1840" s="26"/>
      <c r="D1840" s="22"/>
      <c r="E1840" s="20"/>
      <c r="F1840" s="20"/>
      <c r="G1840" s="20"/>
      <c r="H1840" s="27"/>
    </row>
    <row r="1841" spans="3:8" x14ac:dyDescent="0.15">
      <c r="C1841" s="26"/>
      <c r="D1841" s="22"/>
      <c r="E1841" s="20"/>
      <c r="F1841" s="20"/>
      <c r="G1841" s="20"/>
      <c r="H1841" s="27"/>
    </row>
    <row r="1842" spans="3:8" x14ac:dyDescent="0.15">
      <c r="C1842" s="26"/>
      <c r="D1842" s="22"/>
      <c r="E1842" s="20"/>
      <c r="F1842" s="20"/>
      <c r="G1842" s="20"/>
      <c r="H1842" s="27"/>
    </row>
    <row r="1843" spans="3:8" x14ac:dyDescent="0.15">
      <c r="C1843" s="26"/>
      <c r="D1843" s="22"/>
      <c r="E1843" s="20"/>
      <c r="F1843" s="20"/>
      <c r="G1843" s="20"/>
      <c r="H1843" s="27"/>
    </row>
    <row r="1844" spans="3:8" x14ac:dyDescent="0.15">
      <c r="C1844" s="26"/>
      <c r="D1844" s="22"/>
      <c r="E1844" s="20"/>
      <c r="F1844" s="20"/>
      <c r="G1844" s="20"/>
      <c r="H1844" s="27"/>
    </row>
    <row r="1845" spans="3:8" x14ac:dyDescent="0.15">
      <c r="C1845" s="26"/>
      <c r="D1845" s="22"/>
      <c r="E1845" s="20"/>
      <c r="F1845" s="20"/>
      <c r="G1845" s="20"/>
      <c r="H1845" s="27"/>
    </row>
    <row r="1846" spans="3:8" x14ac:dyDescent="0.15">
      <c r="C1846" s="26"/>
      <c r="D1846" s="22"/>
      <c r="E1846" s="20"/>
      <c r="F1846" s="20"/>
      <c r="G1846" s="20"/>
      <c r="H1846" s="27"/>
    </row>
    <row r="1847" spans="3:8" x14ac:dyDescent="0.15">
      <c r="C1847" s="26"/>
      <c r="D1847" s="22"/>
      <c r="E1847" s="20"/>
      <c r="F1847" s="20"/>
      <c r="G1847" s="20"/>
      <c r="H1847" s="27"/>
    </row>
    <row r="1848" spans="3:8" x14ac:dyDescent="0.15">
      <c r="C1848" s="26"/>
      <c r="D1848" s="22"/>
      <c r="E1848" s="20"/>
      <c r="F1848" s="20"/>
      <c r="G1848" s="20"/>
      <c r="H1848" s="27"/>
    </row>
    <row r="1849" spans="3:8" x14ac:dyDescent="0.15">
      <c r="C1849" s="26"/>
      <c r="D1849" s="22"/>
      <c r="E1849" s="20"/>
      <c r="F1849" s="20"/>
      <c r="G1849" s="20"/>
      <c r="H1849" s="27"/>
    </row>
    <row r="1850" spans="3:8" x14ac:dyDescent="0.15">
      <c r="C1850" s="26"/>
      <c r="D1850" s="22"/>
      <c r="E1850" s="20"/>
      <c r="F1850" s="20"/>
      <c r="G1850" s="20"/>
      <c r="H1850" s="27"/>
    </row>
    <row r="1851" spans="3:8" x14ac:dyDescent="0.15">
      <c r="C1851" s="26"/>
      <c r="D1851" s="22"/>
      <c r="E1851" s="20"/>
      <c r="F1851" s="20"/>
      <c r="G1851" s="20"/>
      <c r="H1851" s="27"/>
    </row>
    <row r="1852" spans="3:8" x14ac:dyDescent="0.15">
      <c r="C1852" s="26"/>
      <c r="D1852" s="22"/>
      <c r="E1852" s="20"/>
      <c r="F1852" s="20"/>
      <c r="G1852" s="20"/>
      <c r="H1852" s="27"/>
    </row>
    <row r="1853" spans="3:8" x14ac:dyDescent="0.15">
      <c r="C1853" s="26"/>
      <c r="D1853" s="22"/>
      <c r="E1853" s="20"/>
      <c r="F1853" s="20"/>
      <c r="G1853" s="20"/>
      <c r="H1853" s="27"/>
    </row>
    <row r="1854" spans="3:8" x14ac:dyDescent="0.15">
      <c r="C1854" s="26"/>
      <c r="D1854" s="22"/>
      <c r="E1854" s="20"/>
      <c r="F1854" s="20"/>
      <c r="G1854" s="20"/>
      <c r="H1854" s="27"/>
    </row>
    <row r="1855" spans="3:8" x14ac:dyDescent="0.15">
      <c r="C1855" s="26"/>
      <c r="D1855" s="22"/>
      <c r="E1855" s="20"/>
      <c r="F1855" s="20"/>
      <c r="G1855" s="20"/>
      <c r="H1855" s="27"/>
    </row>
    <row r="1856" spans="3:8" x14ac:dyDescent="0.15">
      <c r="C1856" s="26"/>
      <c r="D1856" s="22"/>
      <c r="E1856" s="20"/>
      <c r="F1856" s="20"/>
      <c r="G1856" s="20"/>
      <c r="H1856" s="27"/>
    </row>
    <row r="1857" spans="3:8" x14ac:dyDescent="0.15">
      <c r="C1857" s="26"/>
      <c r="D1857" s="22"/>
      <c r="E1857" s="20"/>
      <c r="F1857" s="20"/>
      <c r="G1857" s="20"/>
      <c r="H1857" s="27"/>
    </row>
    <row r="1858" spans="3:8" x14ac:dyDescent="0.15">
      <c r="C1858" s="26"/>
      <c r="D1858" s="22"/>
      <c r="E1858" s="20"/>
      <c r="F1858" s="20"/>
      <c r="G1858" s="20"/>
      <c r="H1858" s="27"/>
    </row>
    <row r="1859" spans="3:8" x14ac:dyDescent="0.15">
      <c r="C1859" s="26"/>
      <c r="D1859" s="22"/>
      <c r="E1859" s="20"/>
      <c r="F1859" s="20"/>
      <c r="G1859" s="20"/>
      <c r="H1859" s="27"/>
    </row>
    <row r="1860" spans="3:8" x14ac:dyDescent="0.15">
      <c r="C1860" s="26"/>
      <c r="D1860" s="22"/>
      <c r="E1860" s="20"/>
      <c r="F1860" s="20"/>
      <c r="G1860" s="20"/>
      <c r="H1860" s="27"/>
    </row>
    <row r="1861" spans="3:8" x14ac:dyDescent="0.15">
      <c r="C1861" s="26"/>
      <c r="D1861" s="22"/>
      <c r="E1861" s="20"/>
      <c r="F1861" s="20"/>
      <c r="G1861" s="20"/>
      <c r="H1861" s="27"/>
    </row>
    <row r="1862" spans="3:8" x14ac:dyDescent="0.15">
      <c r="C1862" s="26"/>
      <c r="D1862" s="22"/>
      <c r="E1862" s="20"/>
      <c r="F1862" s="20"/>
      <c r="G1862" s="20"/>
      <c r="H1862" s="27"/>
    </row>
    <row r="1863" spans="3:8" x14ac:dyDescent="0.15">
      <c r="C1863" s="26"/>
      <c r="D1863" s="22"/>
      <c r="E1863" s="20"/>
      <c r="F1863" s="20"/>
      <c r="G1863" s="20"/>
      <c r="H1863" s="27"/>
    </row>
    <row r="1864" spans="3:8" x14ac:dyDescent="0.15">
      <c r="C1864" s="26"/>
      <c r="D1864" s="22"/>
      <c r="E1864" s="20"/>
      <c r="F1864" s="20"/>
      <c r="G1864" s="20"/>
      <c r="H1864" s="27"/>
    </row>
    <row r="1865" spans="3:8" x14ac:dyDescent="0.15">
      <c r="C1865" s="26"/>
      <c r="D1865" s="22"/>
      <c r="E1865" s="20"/>
      <c r="F1865" s="20"/>
      <c r="G1865" s="20"/>
      <c r="H1865" s="27"/>
    </row>
    <row r="1866" spans="3:8" x14ac:dyDescent="0.15">
      <c r="C1866" s="26"/>
      <c r="D1866" s="22"/>
      <c r="E1866" s="20"/>
      <c r="F1866" s="20"/>
      <c r="G1866" s="20"/>
      <c r="H1866" s="27"/>
    </row>
    <row r="1867" spans="3:8" x14ac:dyDescent="0.15">
      <c r="C1867" s="26"/>
      <c r="D1867" s="22"/>
      <c r="E1867" s="20"/>
      <c r="F1867" s="20"/>
      <c r="G1867" s="20"/>
      <c r="H1867" s="27"/>
    </row>
    <row r="1868" spans="3:8" x14ac:dyDescent="0.15">
      <c r="C1868" s="26"/>
      <c r="D1868" s="22"/>
      <c r="E1868" s="20"/>
      <c r="F1868" s="20"/>
      <c r="G1868" s="20"/>
      <c r="H1868" s="27"/>
    </row>
    <row r="1869" spans="3:8" x14ac:dyDescent="0.15">
      <c r="C1869" s="26"/>
      <c r="D1869" s="22"/>
      <c r="E1869" s="20"/>
      <c r="F1869" s="20"/>
      <c r="G1869" s="20"/>
      <c r="H1869" s="27"/>
    </row>
    <row r="1870" spans="3:8" x14ac:dyDescent="0.15">
      <c r="C1870" s="26"/>
      <c r="D1870" s="22"/>
      <c r="E1870" s="20"/>
      <c r="F1870" s="20"/>
      <c r="G1870" s="20"/>
      <c r="H1870" s="27"/>
    </row>
    <row r="1871" spans="3:8" x14ac:dyDescent="0.15">
      <c r="C1871" s="26"/>
      <c r="D1871" s="22"/>
      <c r="E1871" s="20"/>
      <c r="F1871" s="20"/>
      <c r="G1871" s="20"/>
      <c r="H1871" s="27"/>
    </row>
    <row r="1872" spans="3:8" x14ac:dyDescent="0.15">
      <c r="C1872" s="26"/>
      <c r="D1872" s="22"/>
      <c r="E1872" s="20"/>
      <c r="F1872" s="20"/>
      <c r="G1872" s="20"/>
      <c r="H1872" s="27"/>
    </row>
    <row r="1873" spans="3:8" x14ac:dyDescent="0.15">
      <c r="C1873" s="26"/>
      <c r="D1873" s="22"/>
      <c r="E1873" s="20"/>
      <c r="F1873" s="20"/>
      <c r="G1873" s="20"/>
      <c r="H1873" s="27"/>
    </row>
    <row r="1874" spans="3:8" x14ac:dyDescent="0.15">
      <c r="C1874" s="26"/>
      <c r="D1874" s="22"/>
      <c r="E1874" s="20"/>
      <c r="F1874" s="20"/>
      <c r="G1874" s="20"/>
      <c r="H1874" s="27"/>
    </row>
    <row r="1875" spans="3:8" x14ac:dyDescent="0.15">
      <c r="C1875" s="26"/>
      <c r="D1875" s="22"/>
      <c r="E1875" s="20"/>
      <c r="F1875" s="20"/>
      <c r="G1875" s="20"/>
      <c r="H1875" s="27"/>
    </row>
    <row r="1876" spans="3:8" x14ac:dyDescent="0.15">
      <c r="C1876" s="26"/>
      <c r="D1876" s="22"/>
      <c r="E1876" s="20"/>
      <c r="F1876" s="20"/>
      <c r="G1876" s="20"/>
      <c r="H1876" s="27"/>
    </row>
    <row r="1877" spans="3:8" x14ac:dyDescent="0.15">
      <c r="C1877" s="26"/>
      <c r="D1877" s="22"/>
      <c r="E1877" s="20"/>
      <c r="F1877" s="20"/>
      <c r="G1877" s="20"/>
      <c r="H1877" s="27"/>
    </row>
    <row r="1878" spans="3:8" x14ac:dyDescent="0.15">
      <c r="C1878" s="26"/>
      <c r="D1878" s="22"/>
      <c r="E1878" s="20"/>
      <c r="F1878" s="20"/>
      <c r="G1878" s="20"/>
      <c r="H1878" s="27"/>
    </row>
    <row r="1879" spans="3:8" x14ac:dyDescent="0.15">
      <c r="C1879" s="26"/>
      <c r="D1879" s="22"/>
      <c r="E1879" s="20"/>
      <c r="F1879" s="20"/>
      <c r="G1879" s="20"/>
      <c r="H1879" s="27"/>
    </row>
    <row r="1880" spans="3:8" x14ac:dyDescent="0.15">
      <c r="C1880" s="26"/>
      <c r="D1880" s="22"/>
      <c r="E1880" s="20"/>
      <c r="F1880" s="20"/>
      <c r="G1880" s="20"/>
      <c r="H1880" s="27"/>
    </row>
    <row r="1881" spans="3:8" x14ac:dyDescent="0.15">
      <c r="C1881" s="26"/>
      <c r="D1881" s="22"/>
      <c r="E1881" s="20"/>
      <c r="F1881" s="20"/>
      <c r="G1881" s="20"/>
      <c r="H1881" s="27"/>
    </row>
    <row r="1882" spans="3:8" x14ac:dyDescent="0.15">
      <c r="C1882" s="26"/>
      <c r="D1882" s="22"/>
      <c r="E1882" s="20"/>
      <c r="F1882" s="20"/>
      <c r="G1882" s="20"/>
      <c r="H1882" s="27"/>
    </row>
    <row r="1883" spans="3:8" x14ac:dyDescent="0.15">
      <c r="C1883" s="26"/>
      <c r="D1883" s="22"/>
      <c r="E1883" s="20"/>
      <c r="F1883" s="20"/>
      <c r="G1883" s="20"/>
      <c r="H1883" s="27"/>
    </row>
    <row r="1884" spans="3:8" x14ac:dyDescent="0.15">
      <c r="C1884" s="26"/>
      <c r="D1884" s="22"/>
      <c r="E1884" s="20"/>
      <c r="F1884" s="20"/>
      <c r="G1884" s="20"/>
      <c r="H1884" s="27"/>
    </row>
    <row r="1885" spans="3:8" x14ac:dyDescent="0.15">
      <c r="C1885" s="26"/>
      <c r="D1885" s="22"/>
      <c r="E1885" s="20"/>
      <c r="F1885" s="20"/>
      <c r="G1885" s="20"/>
      <c r="H1885" s="27"/>
    </row>
    <row r="1886" spans="3:8" x14ac:dyDescent="0.15">
      <c r="C1886" s="26"/>
      <c r="D1886" s="22"/>
      <c r="E1886" s="20"/>
      <c r="F1886" s="20"/>
      <c r="G1886" s="20"/>
      <c r="H1886" s="27"/>
    </row>
    <row r="1887" spans="3:8" x14ac:dyDescent="0.15">
      <c r="C1887" s="26"/>
      <c r="D1887" s="22"/>
      <c r="E1887" s="20"/>
      <c r="F1887" s="20"/>
      <c r="G1887" s="20"/>
      <c r="H1887" s="27"/>
    </row>
    <row r="1888" spans="3:8" x14ac:dyDescent="0.15">
      <c r="C1888" s="26"/>
      <c r="D1888" s="22"/>
      <c r="E1888" s="20"/>
      <c r="F1888" s="20"/>
      <c r="G1888" s="20"/>
      <c r="H1888" s="27"/>
    </row>
    <row r="1889" spans="3:8" x14ac:dyDescent="0.15">
      <c r="C1889" s="26"/>
      <c r="D1889" s="22"/>
      <c r="E1889" s="20"/>
      <c r="F1889" s="20"/>
      <c r="G1889" s="20"/>
      <c r="H1889" s="27"/>
    </row>
    <row r="1890" spans="3:8" x14ac:dyDescent="0.15">
      <c r="C1890" s="26"/>
      <c r="D1890" s="22"/>
      <c r="E1890" s="20"/>
      <c r="F1890" s="20"/>
      <c r="G1890" s="20"/>
      <c r="H1890" s="27"/>
    </row>
    <row r="1891" spans="3:8" x14ac:dyDescent="0.15">
      <c r="C1891" s="26"/>
      <c r="D1891" s="22"/>
      <c r="E1891" s="20"/>
      <c r="F1891" s="20"/>
      <c r="G1891" s="20"/>
      <c r="H1891" s="27"/>
    </row>
    <row r="1892" spans="3:8" x14ac:dyDescent="0.15">
      <c r="C1892" s="26"/>
      <c r="D1892" s="22"/>
      <c r="E1892" s="20"/>
      <c r="F1892" s="20"/>
      <c r="G1892" s="20"/>
      <c r="H1892" s="27"/>
    </row>
    <row r="1893" spans="3:8" x14ac:dyDescent="0.15">
      <c r="C1893" s="26"/>
      <c r="D1893" s="22"/>
      <c r="E1893" s="20"/>
      <c r="F1893" s="20"/>
      <c r="G1893" s="20"/>
      <c r="H1893" s="27"/>
    </row>
    <row r="1894" spans="3:8" x14ac:dyDescent="0.15">
      <c r="C1894" s="26"/>
      <c r="D1894" s="22"/>
      <c r="E1894" s="20"/>
      <c r="F1894" s="20"/>
      <c r="G1894" s="20"/>
      <c r="H1894" s="27"/>
    </row>
    <row r="1895" spans="3:8" x14ac:dyDescent="0.15">
      <c r="C1895" s="26"/>
      <c r="D1895" s="22"/>
      <c r="E1895" s="20"/>
      <c r="F1895" s="20"/>
      <c r="G1895" s="20"/>
      <c r="H1895" s="27"/>
    </row>
    <row r="1896" spans="3:8" x14ac:dyDescent="0.15">
      <c r="C1896" s="26"/>
      <c r="D1896" s="22"/>
      <c r="E1896" s="20"/>
      <c r="F1896" s="20"/>
      <c r="G1896" s="20"/>
      <c r="H1896" s="27"/>
    </row>
    <row r="1897" spans="3:8" x14ac:dyDescent="0.15">
      <c r="C1897" s="26"/>
      <c r="D1897" s="22"/>
      <c r="E1897" s="20"/>
      <c r="F1897" s="20"/>
      <c r="G1897" s="20"/>
      <c r="H1897" s="27"/>
    </row>
    <row r="1898" spans="3:8" x14ac:dyDescent="0.15">
      <c r="C1898" s="26"/>
      <c r="D1898" s="22"/>
      <c r="E1898" s="20"/>
      <c r="F1898" s="20"/>
      <c r="G1898" s="20"/>
      <c r="H1898" s="27"/>
    </row>
    <row r="1899" spans="3:8" x14ac:dyDescent="0.15">
      <c r="C1899" s="26"/>
      <c r="D1899" s="22"/>
      <c r="E1899" s="20"/>
      <c r="F1899" s="20"/>
      <c r="G1899" s="20"/>
      <c r="H1899" s="27"/>
    </row>
    <row r="1900" spans="3:8" x14ac:dyDescent="0.15">
      <c r="C1900" s="26"/>
      <c r="D1900" s="22"/>
      <c r="E1900" s="20"/>
      <c r="F1900" s="20"/>
      <c r="G1900" s="20"/>
      <c r="H1900" s="27"/>
    </row>
    <row r="1901" spans="3:8" x14ac:dyDescent="0.15">
      <c r="C1901" s="26"/>
      <c r="D1901" s="22"/>
      <c r="E1901" s="20"/>
      <c r="F1901" s="20"/>
      <c r="G1901" s="20"/>
      <c r="H1901" s="27"/>
    </row>
    <row r="1902" spans="3:8" x14ac:dyDescent="0.15">
      <c r="C1902" s="26"/>
      <c r="D1902" s="22"/>
      <c r="E1902" s="20"/>
      <c r="F1902" s="20"/>
      <c r="G1902" s="20"/>
      <c r="H1902" s="27"/>
    </row>
    <row r="1903" spans="3:8" x14ac:dyDescent="0.15">
      <c r="C1903" s="26"/>
      <c r="D1903" s="22"/>
      <c r="E1903" s="20"/>
      <c r="F1903" s="20"/>
      <c r="G1903" s="20"/>
      <c r="H1903" s="27"/>
    </row>
    <row r="1904" spans="3:8" x14ac:dyDescent="0.15">
      <c r="C1904" s="26"/>
      <c r="D1904" s="22"/>
      <c r="E1904" s="20"/>
      <c r="F1904" s="20"/>
      <c r="G1904" s="20"/>
      <c r="H1904" s="27"/>
    </row>
    <row r="1905" spans="3:8" x14ac:dyDescent="0.15">
      <c r="C1905" s="26"/>
      <c r="D1905" s="22"/>
      <c r="E1905" s="20"/>
      <c r="F1905" s="20"/>
      <c r="G1905" s="20"/>
      <c r="H1905" s="27"/>
    </row>
    <row r="1906" spans="3:8" x14ac:dyDescent="0.15">
      <c r="C1906" s="26"/>
      <c r="D1906" s="22"/>
      <c r="E1906" s="20"/>
      <c r="F1906" s="20"/>
      <c r="G1906" s="20"/>
      <c r="H1906" s="27"/>
    </row>
    <row r="1907" spans="3:8" x14ac:dyDescent="0.15">
      <c r="C1907" s="26"/>
      <c r="D1907" s="22"/>
      <c r="E1907" s="20"/>
      <c r="F1907" s="20"/>
      <c r="G1907" s="20"/>
      <c r="H1907" s="27"/>
    </row>
    <row r="1908" spans="3:8" x14ac:dyDescent="0.15">
      <c r="C1908" s="26"/>
      <c r="D1908" s="22"/>
      <c r="E1908" s="20"/>
      <c r="F1908" s="20"/>
      <c r="G1908" s="20"/>
      <c r="H1908" s="27"/>
    </row>
    <row r="1909" spans="3:8" x14ac:dyDescent="0.15">
      <c r="C1909" s="26"/>
      <c r="D1909" s="22"/>
      <c r="E1909" s="20"/>
      <c r="F1909" s="20"/>
      <c r="G1909" s="20"/>
      <c r="H1909" s="27"/>
    </row>
    <row r="1910" spans="3:8" x14ac:dyDescent="0.15">
      <c r="C1910" s="26"/>
      <c r="D1910" s="22"/>
      <c r="E1910" s="20"/>
      <c r="F1910" s="20"/>
      <c r="G1910" s="20"/>
      <c r="H1910" s="27"/>
    </row>
    <row r="1911" spans="3:8" x14ac:dyDescent="0.15">
      <c r="C1911" s="26"/>
      <c r="D1911" s="22"/>
      <c r="E1911" s="20"/>
      <c r="F1911" s="20"/>
      <c r="G1911" s="20"/>
      <c r="H1911" s="27"/>
    </row>
    <row r="1912" spans="3:8" x14ac:dyDescent="0.15">
      <c r="C1912" s="26"/>
      <c r="D1912" s="22"/>
      <c r="E1912" s="20"/>
      <c r="F1912" s="20"/>
      <c r="G1912" s="20"/>
      <c r="H1912" s="27"/>
    </row>
    <row r="1913" spans="3:8" x14ac:dyDescent="0.15">
      <c r="C1913" s="26"/>
      <c r="D1913" s="22"/>
      <c r="E1913" s="20"/>
      <c r="F1913" s="20"/>
      <c r="G1913" s="20"/>
      <c r="H1913" s="27"/>
    </row>
    <row r="1914" spans="3:8" x14ac:dyDescent="0.15">
      <c r="C1914" s="26"/>
      <c r="D1914" s="22"/>
      <c r="E1914" s="20"/>
      <c r="F1914" s="20"/>
      <c r="G1914" s="20"/>
      <c r="H1914" s="27"/>
    </row>
    <row r="1915" spans="3:8" x14ac:dyDescent="0.15">
      <c r="C1915" s="26"/>
      <c r="D1915" s="22"/>
      <c r="E1915" s="20"/>
      <c r="F1915" s="20"/>
      <c r="G1915" s="20"/>
      <c r="H1915" s="27"/>
    </row>
    <row r="1916" spans="3:8" x14ac:dyDescent="0.15">
      <c r="C1916" s="26"/>
      <c r="D1916" s="22"/>
      <c r="E1916" s="20"/>
      <c r="F1916" s="20"/>
      <c r="G1916" s="20"/>
      <c r="H1916" s="27"/>
    </row>
    <row r="1917" spans="3:8" x14ac:dyDescent="0.15">
      <c r="C1917" s="26"/>
      <c r="D1917" s="22"/>
      <c r="E1917" s="20"/>
      <c r="F1917" s="20"/>
      <c r="G1917" s="20"/>
      <c r="H1917" s="27"/>
    </row>
    <row r="1918" spans="3:8" x14ac:dyDescent="0.15">
      <c r="C1918" s="26"/>
      <c r="D1918" s="22"/>
      <c r="E1918" s="20"/>
      <c r="F1918" s="20"/>
      <c r="G1918" s="20"/>
      <c r="H1918" s="27"/>
    </row>
    <row r="1919" spans="3:8" x14ac:dyDescent="0.15">
      <c r="C1919" s="26"/>
      <c r="D1919" s="22"/>
      <c r="E1919" s="20"/>
      <c r="F1919" s="20"/>
      <c r="G1919" s="20"/>
      <c r="H1919" s="27"/>
    </row>
    <row r="1920" spans="3:8" x14ac:dyDescent="0.15">
      <c r="C1920" s="26"/>
      <c r="D1920" s="22"/>
      <c r="E1920" s="20"/>
      <c r="F1920" s="20"/>
      <c r="G1920" s="20"/>
      <c r="H1920" s="27"/>
    </row>
    <row r="1921" spans="3:8" x14ac:dyDescent="0.15">
      <c r="C1921" s="26"/>
      <c r="D1921" s="22"/>
      <c r="E1921" s="20"/>
      <c r="F1921" s="20"/>
      <c r="G1921" s="20"/>
      <c r="H1921" s="27"/>
    </row>
    <row r="1922" spans="3:8" x14ac:dyDescent="0.15">
      <c r="C1922" s="26"/>
      <c r="D1922" s="22"/>
      <c r="E1922" s="20"/>
      <c r="F1922" s="20"/>
      <c r="G1922" s="20"/>
      <c r="H1922" s="27"/>
    </row>
    <row r="1923" spans="3:8" x14ac:dyDescent="0.15">
      <c r="C1923" s="26"/>
      <c r="D1923" s="22"/>
      <c r="E1923" s="20"/>
      <c r="F1923" s="20"/>
      <c r="G1923" s="20"/>
      <c r="H1923" s="27"/>
    </row>
    <row r="1924" spans="3:8" x14ac:dyDescent="0.15">
      <c r="C1924" s="26"/>
      <c r="D1924" s="22"/>
      <c r="E1924" s="20"/>
      <c r="F1924" s="20"/>
      <c r="G1924" s="20"/>
      <c r="H1924" s="27"/>
    </row>
    <row r="1925" spans="3:8" x14ac:dyDescent="0.15">
      <c r="C1925" s="26"/>
      <c r="D1925" s="22"/>
      <c r="E1925" s="20"/>
      <c r="F1925" s="20"/>
      <c r="G1925" s="20"/>
      <c r="H1925" s="27"/>
    </row>
    <row r="1926" spans="3:8" x14ac:dyDescent="0.15">
      <c r="C1926" s="26"/>
      <c r="D1926" s="22"/>
      <c r="E1926" s="20"/>
      <c r="F1926" s="20"/>
      <c r="G1926" s="20"/>
      <c r="H1926" s="27"/>
    </row>
    <row r="1927" spans="3:8" x14ac:dyDescent="0.15">
      <c r="C1927" s="26"/>
      <c r="D1927" s="22"/>
      <c r="E1927" s="20"/>
      <c r="F1927" s="20"/>
      <c r="G1927" s="20"/>
      <c r="H1927" s="27"/>
    </row>
    <row r="1928" spans="3:8" x14ac:dyDescent="0.15">
      <c r="C1928" s="26"/>
      <c r="D1928" s="22"/>
      <c r="E1928" s="20"/>
      <c r="F1928" s="20"/>
      <c r="G1928" s="20"/>
      <c r="H1928" s="27"/>
    </row>
    <row r="1929" spans="3:8" x14ac:dyDescent="0.15">
      <c r="C1929" s="26"/>
      <c r="D1929" s="22"/>
      <c r="E1929" s="20"/>
      <c r="F1929" s="20"/>
      <c r="G1929" s="20"/>
      <c r="H1929" s="27"/>
    </row>
    <row r="1930" spans="3:8" x14ac:dyDescent="0.15">
      <c r="C1930" s="26"/>
      <c r="D1930" s="22"/>
      <c r="E1930" s="20"/>
      <c r="F1930" s="20"/>
      <c r="G1930" s="20"/>
      <c r="H1930" s="27"/>
    </row>
    <row r="1931" spans="3:8" x14ac:dyDescent="0.15">
      <c r="C1931" s="26"/>
      <c r="D1931" s="22"/>
      <c r="E1931" s="20"/>
      <c r="F1931" s="20"/>
      <c r="G1931" s="20"/>
      <c r="H1931" s="27"/>
    </row>
    <row r="1932" spans="3:8" x14ac:dyDescent="0.15">
      <c r="C1932" s="26"/>
      <c r="D1932" s="22"/>
      <c r="E1932" s="20"/>
      <c r="F1932" s="20"/>
      <c r="G1932" s="20"/>
      <c r="H1932" s="27"/>
    </row>
    <row r="1933" spans="3:8" x14ac:dyDescent="0.15">
      <c r="C1933" s="26"/>
      <c r="D1933" s="22"/>
      <c r="E1933" s="20"/>
      <c r="F1933" s="20"/>
      <c r="G1933" s="20"/>
      <c r="H1933" s="27"/>
    </row>
    <row r="1934" spans="3:8" x14ac:dyDescent="0.15">
      <c r="C1934" s="26"/>
      <c r="D1934" s="22"/>
      <c r="E1934" s="20"/>
      <c r="F1934" s="20"/>
      <c r="G1934" s="20"/>
      <c r="H1934" s="27"/>
    </row>
    <row r="1935" spans="3:8" x14ac:dyDescent="0.15">
      <c r="C1935" s="26"/>
      <c r="D1935" s="22"/>
      <c r="E1935" s="20"/>
      <c r="F1935" s="20"/>
      <c r="G1935" s="20"/>
      <c r="H1935" s="27"/>
    </row>
    <row r="1936" spans="3:8" x14ac:dyDescent="0.15">
      <c r="C1936" s="26"/>
      <c r="D1936" s="22"/>
      <c r="E1936" s="20"/>
      <c r="F1936" s="20"/>
      <c r="G1936" s="20"/>
      <c r="H1936" s="27"/>
    </row>
    <row r="1937" spans="3:8" x14ac:dyDescent="0.15">
      <c r="C1937" s="26"/>
      <c r="D1937" s="22"/>
      <c r="E1937" s="20"/>
      <c r="F1937" s="20"/>
      <c r="G1937" s="20"/>
      <c r="H1937" s="27"/>
    </row>
    <row r="1938" spans="3:8" x14ac:dyDescent="0.15">
      <c r="C1938" s="26"/>
      <c r="D1938" s="22"/>
      <c r="E1938" s="20"/>
      <c r="F1938" s="20"/>
      <c r="G1938" s="20"/>
      <c r="H1938" s="27"/>
    </row>
    <row r="1939" spans="3:8" x14ac:dyDescent="0.15">
      <c r="C1939" s="26"/>
      <c r="D1939" s="22"/>
      <c r="E1939" s="20"/>
      <c r="F1939" s="20"/>
      <c r="G1939" s="20"/>
      <c r="H1939" s="27"/>
    </row>
    <row r="1940" spans="3:8" x14ac:dyDescent="0.15">
      <c r="C1940" s="26"/>
      <c r="D1940" s="22"/>
      <c r="E1940" s="20"/>
      <c r="F1940" s="20"/>
      <c r="G1940" s="20"/>
      <c r="H1940" s="27"/>
    </row>
    <row r="1941" spans="3:8" x14ac:dyDescent="0.15">
      <c r="C1941" s="26"/>
      <c r="D1941" s="22"/>
      <c r="E1941" s="20"/>
      <c r="F1941" s="20"/>
      <c r="G1941" s="20"/>
      <c r="H1941" s="27"/>
    </row>
    <row r="1942" spans="3:8" x14ac:dyDescent="0.15">
      <c r="C1942" s="26"/>
      <c r="D1942" s="22"/>
      <c r="E1942" s="20"/>
      <c r="F1942" s="20"/>
      <c r="G1942" s="20"/>
      <c r="H1942" s="27"/>
    </row>
    <row r="1943" spans="3:8" x14ac:dyDescent="0.15">
      <c r="C1943" s="26"/>
      <c r="D1943" s="22"/>
      <c r="E1943" s="20"/>
      <c r="F1943" s="20"/>
      <c r="G1943" s="20"/>
      <c r="H1943" s="27"/>
    </row>
    <row r="1944" spans="3:8" x14ac:dyDescent="0.15">
      <c r="C1944" s="26"/>
      <c r="D1944" s="22"/>
      <c r="E1944" s="20"/>
      <c r="F1944" s="20"/>
      <c r="G1944" s="20"/>
      <c r="H1944" s="27"/>
    </row>
    <row r="1945" spans="3:8" x14ac:dyDescent="0.15">
      <c r="C1945" s="26"/>
      <c r="D1945" s="22"/>
      <c r="E1945" s="20"/>
      <c r="F1945" s="20"/>
      <c r="G1945" s="20"/>
      <c r="H1945" s="27"/>
    </row>
    <row r="1946" spans="3:8" x14ac:dyDescent="0.15">
      <c r="C1946" s="26"/>
      <c r="D1946" s="22"/>
      <c r="E1946" s="20"/>
      <c r="F1946" s="20"/>
      <c r="G1946" s="20"/>
      <c r="H1946" s="27"/>
    </row>
    <row r="1947" spans="3:8" x14ac:dyDescent="0.15">
      <c r="C1947" s="26"/>
      <c r="D1947" s="22"/>
      <c r="E1947" s="20"/>
      <c r="F1947" s="20"/>
      <c r="G1947" s="20"/>
      <c r="H1947" s="27"/>
    </row>
    <row r="1948" spans="3:8" x14ac:dyDescent="0.15">
      <c r="C1948" s="26"/>
      <c r="D1948" s="22"/>
      <c r="E1948" s="20"/>
      <c r="F1948" s="20"/>
      <c r="G1948" s="20"/>
      <c r="H1948" s="27"/>
    </row>
    <row r="1949" spans="3:8" x14ac:dyDescent="0.15">
      <c r="C1949" s="26"/>
      <c r="D1949" s="22"/>
      <c r="E1949" s="20"/>
      <c r="F1949" s="20"/>
      <c r="G1949" s="20"/>
      <c r="H1949" s="27"/>
    </row>
    <row r="1950" spans="3:8" x14ac:dyDescent="0.15">
      <c r="C1950" s="26"/>
      <c r="D1950" s="22"/>
      <c r="E1950" s="20"/>
      <c r="F1950" s="20"/>
      <c r="G1950" s="20"/>
      <c r="H1950" s="27"/>
    </row>
    <row r="1951" spans="3:8" x14ac:dyDescent="0.15">
      <c r="C1951" s="26"/>
      <c r="D1951" s="22"/>
      <c r="E1951" s="20"/>
      <c r="F1951" s="20"/>
      <c r="G1951" s="20"/>
      <c r="H1951" s="27"/>
    </row>
    <row r="1952" spans="3:8" x14ac:dyDescent="0.15">
      <c r="C1952" s="26"/>
      <c r="D1952" s="22"/>
      <c r="E1952" s="20"/>
      <c r="F1952" s="20"/>
      <c r="G1952" s="20"/>
      <c r="H1952" s="27"/>
    </row>
    <row r="1953" spans="3:8" x14ac:dyDescent="0.15">
      <c r="C1953" s="26"/>
      <c r="D1953" s="22"/>
      <c r="E1953" s="20"/>
      <c r="F1953" s="20"/>
      <c r="G1953" s="20"/>
      <c r="H1953" s="27"/>
    </row>
    <row r="1954" spans="3:8" x14ac:dyDescent="0.15">
      <c r="C1954" s="26"/>
      <c r="D1954" s="22"/>
      <c r="E1954" s="20"/>
      <c r="F1954" s="20"/>
      <c r="G1954" s="20"/>
      <c r="H1954" s="27"/>
    </row>
    <row r="1955" spans="3:8" x14ac:dyDescent="0.15">
      <c r="C1955" s="26"/>
      <c r="D1955" s="22"/>
      <c r="E1955" s="20"/>
      <c r="F1955" s="20"/>
      <c r="G1955" s="20"/>
      <c r="H1955" s="27"/>
    </row>
    <row r="1956" spans="3:8" x14ac:dyDescent="0.15">
      <c r="C1956" s="26"/>
      <c r="D1956" s="22"/>
      <c r="E1956" s="20"/>
      <c r="F1956" s="20"/>
      <c r="G1956" s="20"/>
      <c r="H1956" s="27"/>
    </row>
    <row r="1957" spans="3:8" x14ac:dyDescent="0.15">
      <c r="C1957" s="26"/>
      <c r="D1957" s="22"/>
      <c r="E1957" s="20"/>
      <c r="F1957" s="20"/>
      <c r="G1957" s="20"/>
      <c r="H1957" s="27"/>
    </row>
    <row r="1958" spans="3:8" x14ac:dyDescent="0.15">
      <c r="C1958" s="26"/>
      <c r="D1958" s="22"/>
      <c r="E1958" s="20"/>
      <c r="F1958" s="20"/>
      <c r="G1958" s="20"/>
      <c r="H1958" s="27"/>
    </row>
    <row r="1959" spans="3:8" x14ac:dyDescent="0.15">
      <c r="C1959" s="26"/>
      <c r="D1959" s="22"/>
      <c r="E1959" s="20"/>
      <c r="F1959" s="20"/>
      <c r="G1959" s="20"/>
      <c r="H1959" s="27"/>
    </row>
    <row r="1960" spans="3:8" x14ac:dyDescent="0.15">
      <c r="C1960" s="26"/>
      <c r="D1960" s="22"/>
      <c r="E1960" s="20"/>
      <c r="F1960" s="20"/>
      <c r="G1960" s="20"/>
      <c r="H1960" s="27"/>
    </row>
    <row r="1961" spans="3:8" x14ac:dyDescent="0.15">
      <c r="C1961" s="26"/>
      <c r="D1961" s="22"/>
      <c r="E1961" s="20"/>
      <c r="F1961" s="20"/>
      <c r="G1961" s="20"/>
      <c r="H1961" s="27"/>
    </row>
    <row r="1962" spans="3:8" x14ac:dyDescent="0.15">
      <c r="C1962" s="26"/>
      <c r="D1962" s="22"/>
      <c r="E1962" s="20"/>
      <c r="F1962" s="20"/>
      <c r="G1962" s="20"/>
      <c r="H1962" s="27"/>
    </row>
    <row r="1963" spans="3:8" x14ac:dyDescent="0.15">
      <c r="C1963" s="26"/>
      <c r="D1963" s="22"/>
      <c r="E1963" s="20"/>
      <c r="F1963" s="20"/>
      <c r="G1963" s="20"/>
      <c r="H1963" s="27"/>
    </row>
    <row r="1964" spans="3:8" x14ac:dyDescent="0.15">
      <c r="C1964" s="26"/>
      <c r="D1964" s="22"/>
      <c r="E1964" s="20"/>
      <c r="F1964" s="20"/>
      <c r="G1964" s="20"/>
      <c r="H1964" s="27"/>
    </row>
    <row r="1965" spans="3:8" x14ac:dyDescent="0.15">
      <c r="C1965" s="26"/>
      <c r="D1965" s="22"/>
      <c r="E1965" s="20"/>
      <c r="F1965" s="20"/>
      <c r="G1965" s="20"/>
      <c r="H1965" s="27"/>
    </row>
    <row r="1966" spans="3:8" x14ac:dyDescent="0.15">
      <c r="C1966" s="26"/>
      <c r="D1966" s="22"/>
      <c r="E1966" s="20"/>
      <c r="F1966" s="20"/>
      <c r="G1966" s="20"/>
      <c r="H1966" s="27"/>
    </row>
    <row r="1967" spans="3:8" x14ac:dyDescent="0.15">
      <c r="C1967" s="26"/>
      <c r="D1967" s="22"/>
      <c r="E1967" s="20"/>
      <c r="F1967" s="20"/>
      <c r="G1967" s="20"/>
      <c r="H1967" s="27"/>
    </row>
    <row r="1968" spans="3:8" x14ac:dyDescent="0.15">
      <c r="C1968" s="26"/>
      <c r="D1968" s="22"/>
      <c r="E1968" s="20"/>
      <c r="F1968" s="20"/>
      <c r="G1968" s="20"/>
      <c r="H1968" s="27"/>
    </row>
    <row r="1969" spans="3:8" x14ac:dyDescent="0.15">
      <c r="C1969" s="26"/>
      <c r="D1969" s="22"/>
      <c r="E1969" s="20"/>
      <c r="F1969" s="20"/>
      <c r="G1969" s="20"/>
      <c r="H1969" s="27"/>
    </row>
    <row r="1970" spans="3:8" x14ac:dyDescent="0.15">
      <c r="C1970" s="26"/>
      <c r="D1970" s="22"/>
      <c r="E1970" s="20"/>
      <c r="F1970" s="20"/>
      <c r="G1970" s="20"/>
      <c r="H1970" s="27"/>
    </row>
    <row r="1971" spans="3:8" x14ac:dyDescent="0.15">
      <c r="C1971" s="26"/>
      <c r="D1971" s="22"/>
      <c r="E1971" s="20"/>
      <c r="F1971" s="20"/>
      <c r="G1971" s="20"/>
      <c r="H1971" s="27"/>
    </row>
    <row r="1972" spans="3:8" x14ac:dyDescent="0.15">
      <c r="C1972" s="26"/>
      <c r="D1972" s="22"/>
      <c r="E1972" s="20"/>
      <c r="F1972" s="20"/>
      <c r="G1972" s="20"/>
      <c r="H1972" s="27"/>
    </row>
    <row r="1973" spans="3:8" x14ac:dyDescent="0.15">
      <c r="C1973" s="26"/>
      <c r="D1973" s="22"/>
      <c r="E1973" s="20"/>
      <c r="F1973" s="20"/>
      <c r="G1973" s="20"/>
      <c r="H1973" s="27"/>
    </row>
    <row r="1974" spans="3:8" x14ac:dyDescent="0.15">
      <c r="C1974" s="26"/>
      <c r="D1974" s="22"/>
      <c r="E1974" s="20"/>
      <c r="F1974" s="20"/>
      <c r="G1974" s="20"/>
      <c r="H1974" s="27"/>
    </row>
    <row r="1975" spans="3:8" x14ac:dyDescent="0.15">
      <c r="C1975" s="26"/>
      <c r="D1975" s="22"/>
      <c r="E1975" s="20"/>
      <c r="F1975" s="20"/>
      <c r="G1975" s="20"/>
      <c r="H1975" s="27"/>
    </row>
    <row r="1976" spans="3:8" x14ac:dyDescent="0.15">
      <c r="C1976" s="26"/>
      <c r="D1976" s="22"/>
      <c r="E1976" s="20"/>
      <c r="F1976" s="20"/>
      <c r="G1976" s="20"/>
      <c r="H1976" s="27"/>
    </row>
    <row r="1977" spans="3:8" x14ac:dyDescent="0.15">
      <c r="C1977" s="26"/>
      <c r="D1977" s="22"/>
      <c r="E1977" s="20"/>
      <c r="F1977" s="20"/>
      <c r="G1977" s="20"/>
      <c r="H1977" s="27"/>
    </row>
    <row r="1978" spans="3:8" x14ac:dyDescent="0.15">
      <c r="C1978" s="26"/>
      <c r="D1978" s="22"/>
      <c r="E1978" s="20"/>
      <c r="F1978" s="20"/>
      <c r="G1978" s="20"/>
      <c r="H1978" s="27"/>
    </row>
    <row r="1979" spans="3:8" x14ac:dyDescent="0.15">
      <c r="C1979" s="26"/>
      <c r="D1979" s="22"/>
      <c r="E1979" s="20"/>
      <c r="F1979" s="20"/>
      <c r="G1979" s="20"/>
      <c r="H1979" s="27"/>
    </row>
    <row r="1980" spans="3:8" x14ac:dyDescent="0.15">
      <c r="C1980" s="26"/>
      <c r="D1980" s="22"/>
      <c r="E1980" s="20"/>
      <c r="F1980" s="20"/>
      <c r="G1980" s="20"/>
      <c r="H1980" s="27"/>
    </row>
    <row r="1981" spans="3:8" x14ac:dyDescent="0.15">
      <c r="C1981" s="26"/>
      <c r="D1981" s="22"/>
      <c r="E1981" s="20"/>
      <c r="F1981" s="20"/>
      <c r="G1981" s="20"/>
      <c r="H1981" s="27"/>
    </row>
    <row r="1982" spans="3:8" x14ac:dyDescent="0.15">
      <c r="C1982" s="26"/>
      <c r="D1982" s="22"/>
      <c r="E1982" s="20"/>
      <c r="F1982" s="20"/>
      <c r="G1982" s="20"/>
      <c r="H1982" s="27"/>
    </row>
    <row r="1983" spans="3:8" x14ac:dyDescent="0.15">
      <c r="C1983" s="26"/>
      <c r="D1983" s="22"/>
      <c r="E1983" s="20"/>
      <c r="F1983" s="20"/>
      <c r="G1983" s="20"/>
      <c r="H1983" s="27"/>
    </row>
    <row r="1984" spans="3:8" x14ac:dyDescent="0.15">
      <c r="C1984" s="26"/>
      <c r="D1984" s="22"/>
      <c r="E1984" s="20"/>
      <c r="F1984" s="20"/>
      <c r="G1984" s="20"/>
      <c r="H1984" s="27"/>
    </row>
    <row r="1985" spans="3:8" x14ac:dyDescent="0.15">
      <c r="C1985" s="26"/>
      <c r="D1985" s="22"/>
      <c r="E1985" s="20"/>
      <c r="F1985" s="20"/>
      <c r="G1985" s="20"/>
      <c r="H1985" s="27"/>
    </row>
    <row r="1986" spans="3:8" x14ac:dyDescent="0.15">
      <c r="C1986" s="26"/>
      <c r="D1986" s="22"/>
      <c r="E1986" s="20"/>
      <c r="F1986" s="20"/>
      <c r="G1986" s="20"/>
      <c r="H1986" s="27"/>
    </row>
    <row r="1987" spans="3:8" x14ac:dyDescent="0.15">
      <c r="C1987" s="26"/>
      <c r="D1987" s="22"/>
      <c r="E1987" s="20"/>
      <c r="F1987" s="20"/>
      <c r="G1987" s="20"/>
      <c r="H1987" s="27"/>
    </row>
    <row r="1988" spans="3:8" x14ac:dyDescent="0.15">
      <c r="C1988" s="26"/>
      <c r="D1988" s="22"/>
      <c r="E1988" s="20"/>
      <c r="F1988" s="20"/>
      <c r="G1988" s="20"/>
      <c r="H1988" s="27"/>
    </row>
    <row r="1989" spans="3:8" x14ac:dyDescent="0.15">
      <c r="C1989" s="26"/>
      <c r="D1989" s="22"/>
      <c r="E1989" s="20"/>
      <c r="F1989" s="20"/>
      <c r="G1989" s="20"/>
      <c r="H1989" s="27"/>
    </row>
    <row r="1990" spans="3:8" x14ac:dyDescent="0.15">
      <c r="C1990" s="26"/>
      <c r="D1990" s="22"/>
      <c r="E1990" s="20"/>
      <c r="F1990" s="20"/>
      <c r="G1990" s="20"/>
      <c r="H1990" s="27"/>
    </row>
    <row r="1991" spans="3:8" x14ac:dyDescent="0.15">
      <c r="C1991" s="26"/>
      <c r="D1991" s="22"/>
      <c r="E1991" s="20"/>
      <c r="F1991" s="20"/>
      <c r="G1991" s="20"/>
      <c r="H1991" s="27"/>
    </row>
    <row r="1992" spans="3:8" x14ac:dyDescent="0.15">
      <c r="C1992" s="26"/>
      <c r="D1992" s="22"/>
      <c r="E1992" s="20"/>
      <c r="F1992" s="20"/>
      <c r="G1992" s="20"/>
      <c r="H1992" s="27"/>
    </row>
    <row r="1993" spans="3:8" x14ac:dyDescent="0.15">
      <c r="C1993" s="26"/>
      <c r="D1993" s="22"/>
      <c r="E1993" s="20"/>
      <c r="F1993" s="20"/>
      <c r="G1993" s="20"/>
      <c r="H1993" s="27"/>
    </row>
    <row r="1994" spans="3:8" x14ac:dyDescent="0.15">
      <c r="C1994" s="26"/>
      <c r="D1994" s="22"/>
      <c r="E1994" s="20"/>
      <c r="F1994" s="20"/>
      <c r="G1994" s="20"/>
      <c r="H1994" s="27"/>
    </row>
    <row r="1995" spans="3:8" x14ac:dyDescent="0.15">
      <c r="C1995" s="26"/>
      <c r="D1995" s="22"/>
      <c r="E1995" s="20"/>
      <c r="F1995" s="20"/>
      <c r="G1995" s="20"/>
      <c r="H1995" s="27"/>
    </row>
    <row r="1996" spans="3:8" x14ac:dyDescent="0.15">
      <c r="C1996" s="26"/>
      <c r="D1996" s="22"/>
      <c r="E1996" s="20"/>
      <c r="F1996" s="20"/>
      <c r="G1996" s="20"/>
      <c r="H1996" s="27"/>
    </row>
    <row r="1997" spans="3:8" x14ac:dyDescent="0.15">
      <c r="C1997" s="26"/>
      <c r="D1997" s="22"/>
      <c r="E1997" s="20"/>
      <c r="F1997" s="20"/>
      <c r="G1997" s="20"/>
      <c r="H1997" s="27"/>
    </row>
    <row r="1998" spans="3:8" x14ac:dyDescent="0.15">
      <c r="C1998" s="26"/>
      <c r="D1998" s="22"/>
      <c r="E1998" s="20"/>
      <c r="F1998" s="20"/>
      <c r="G1998" s="20"/>
      <c r="H1998" s="27"/>
    </row>
    <row r="1999" spans="3:8" x14ac:dyDescent="0.15">
      <c r="C1999" s="26"/>
      <c r="D1999" s="22"/>
      <c r="E1999" s="20"/>
      <c r="F1999" s="20"/>
      <c r="G1999" s="20"/>
      <c r="H1999" s="27"/>
    </row>
    <row r="2000" spans="3:8" x14ac:dyDescent="0.15">
      <c r="C2000" s="26"/>
      <c r="D2000" s="22"/>
      <c r="E2000" s="20"/>
      <c r="F2000" s="20"/>
      <c r="G2000" s="20"/>
      <c r="H2000" s="27"/>
    </row>
    <row r="2001" spans="3:8" x14ac:dyDescent="0.15">
      <c r="C2001" s="26"/>
      <c r="D2001" s="22"/>
      <c r="E2001" s="20"/>
      <c r="F2001" s="20"/>
      <c r="G2001" s="20"/>
      <c r="H2001" s="27"/>
    </row>
    <row r="2002" spans="3:8" x14ac:dyDescent="0.15">
      <c r="C2002" s="26"/>
      <c r="D2002" s="22"/>
      <c r="E2002" s="20"/>
      <c r="F2002" s="20"/>
      <c r="G2002" s="20"/>
      <c r="H2002" s="27"/>
    </row>
    <row r="2003" spans="3:8" x14ac:dyDescent="0.15">
      <c r="C2003" s="26"/>
      <c r="D2003" s="22"/>
      <c r="E2003" s="20"/>
      <c r="F2003" s="20"/>
      <c r="G2003" s="20"/>
      <c r="H2003" s="27"/>
    </row>
    <row r="2004" spans="3:8" x14ac:dyDescent="0.15">
      <c r="C2004" s="26"/>
      <c r="D2004" s="22"/>
      <c r="E2004" s="20"/>
      <c r="F2004" s="20"/>
      <c r="G2004" s="20"/>
      <c r="H2004" s="27"/>
    </row>
    <row r="2005" spans="3:8" x14ac:dyDescent="0.15">
      <c r="C2005" s="26"/>
      <c r="D2005" s="22"/>
      <c r="E2005" s="20"/>
      <c r="F2005" s="20"/>
      <c r="G2005" s="20"/>
      <c r="H2005" s="27"/>
    </row>
    <row r="2006" spans="3:8" x14ac:dyDescent="0.15">
      <c r="C2006" s="26"/>
      <c r="D2006" s="22"/>
      <c r="E2006" s="20"/>
      <c r="F2006" s="20"/>
      <c r="G2006" s="20"/>
      <c r="H2006" s="27"/>
    </row>
    <row r="2007" spans="3:8" x14ac:dyDescent="0.15">
      <c r="C2007" s="26"/>
      <c r="D2007" s="22"/>
      <c r="E2007" s="20"/>
      <c r="F2007" s="20"/>
      <c r="G2007" s="20"/>
      <c r="H2007" s="27"/>
    </row>
    <row r="2008" spans="3:8" x14ac:dyDescent="0.15">
      <c r="C2008" s="26"/>
      <c r="D2008" s="22"/>
      <c r="E2008" s="20"/>
      <c r="F2008" s="20"/>
      <c r="G2008" s="20"/>
      <c r="H2008" s="27"/>
    </row>
    <row r="2009" spans="3:8" x14ac:dyDescent="0.15">
      <c r="C2009" s="26"/>
      <c r="D2009" s="22"/>
      <c r="E2009" s="20"/>
      <c r="F2009" s="20"/>
      <c r="G2009" s="20"/>
      <c r="H2009" s="27"/>
    </row>
    <row r="2010" spans="3:8" x14ac:dyDescent="0.15">
      <c r="C2010" s="26"/>
      <c r="D2010" s="22"/>
      <c r="E2010" s="20"/>
      <c r="F2010" s="20"/>
      <c r="G2010" s="20"/>
      <c r="H2010" s="27"/>
    </row>
    <row r="2011" spans="3:8" x14ac:dyDescent="0.15">
      <c r="C2011" s="26"/>
      <c r="D2011" s="22"/>
      <c r="E2011" s="20"/>
      <c r="F2011" s="20"/>
      <c r="G2011" s="20"/>
      <c r="H2011" s="27"/>
    </row>
    <row r="2012" spans="3:8" x14ac:dyDescent="0.15">
      <c r="C2012" s="26"/>
      <c r="D2012" s="22"/>
      <c r="E2012" s="20"/>
      <c r="F2012" s="20"/>
      <c r="G2012" s="20"/>
      <c r="H2012" s="27"/>
    </row>
    <row r="2013" spans="3:8" x14ac:dyDescent="0.15">
      <c r="C2013" s="26"/>
      <c r="D2013" s="22"/>
      <c r="E2013" s="20"/>
      <c r="F2013" s="20"/>
      <c r="G2013" s="20"/>
      <c r="H2013" s="27"/>
    </row>
    <row r="2014" spans="3:8" x14ac:dyDescent="0.15">
      <c r="C2014" s="26"/>
      <c r="D2014" s="22"/>
      <c r="E2014" s="20"/>
      <c r="F2014" s="20"/>
      <c r="G2014" s="20"/>
      <c r="H2014" s="27"/>
    </row>
    <row r="2015" spans="3:8" x14ac:dyDescent="0.15">
      <c r="C2015" s="26"/>
      <c r="D2015" s="22"/>
      <c r="E2015" s="20"/>
      <c r="F2015" s="20"/>
      <c r="G2015" s="20"/>
      <c r="H2015" s="27"/>
    </row>
    <row r="2016" spans="3:8" x14ac:dyDescent="0.15">
      <c r="C2016" s="26"/>
      <c r="D2016" s="22"/>
      <c r="E2016" s="20"/>
      <c r="F2016" s="20"/>
      <c r="G2016" s="20"/>
      <c r="H2016" s="27"/>
    </row>
    <row r="2017" spans="3:8" x14ac:dyDescent="0.15">
      <c r="C2017" s="26"/>
      <c r="D2017" s="22"/>
      <c r="E2017" s="20"/>
      <c r="F2017" s="20"/>
      <c r="G2017" s="20"/>
      <c r="H2017" s="27"/>
    </row>
    <row r="2018" spans="3:8" x14ac:dyDescent="0.15">
      <c r="C2018" s="26"/>
      <c r="D2018" s="22"/>
      <c r="E2018" s="20"/>
      <c r="F2018" s="20"/>
      <c r="G2018" s="20"/>
      <c r="H2018" s="27"/>
    </row>
    <row r="2019" spans="3:8" x14ac:dyDescent="0.15">
      <c r="C2019" s="26"/>
      <c r="D2019" s="22"/>
      <c r="E2019" s="20"/>
      <c r="F2019" s="20"/>
      <c r="G2019" s="20"/>
      <c r="H2019" s="27"/>
    </row>
    <row r="2020" spans="3:8" x14ac:dyDescent="0.15">
      <c r="C2020" s="26"/>
      <c r="D2020" s="22"/>
      <c r="E2020" s="20"/>
      <c r="F2020" s="20"/>
      <c r="G2020" s="20"/>
      <c r="H2020" s="27"/>
    </row>
    <row r="2021" spans="3:8" x14ac:dyDescent="0.15">
      <c r="C2021" s="26"/>
      <c r="D2021" s="22"/>
      <c r="E2021" s="20"/>
      <c r="F2021" s="20"/>
      <c r="G2021" s="20"/>
      <c r="H2021" s="27"/>
    </row>
    <row r="2022" spans="3:8" x14ac:dyDescent="0.15">
      <c r="C2022" s="26"/>
      <c r="D2022" s="22"/>
      <c r="E2022" s="20"/>
      <c r="F2022" s="20"/>
      <c r="G2022" s="20"/>
      <c r="H2022" s="27"/>
    </row>
    <row r="2023" spans="3:8" x14ac:dyDescent="0.15">
      <c r="C2023" s="26"/>
      <c r="D2023" s="22"/>
      <c r="E2023" s="20"/>
      <c r="F2023" s="20"/>
      <c r="G2023" s="20"/>
      <c r="H2023" s="27"/>
    </row>
    <row r="2024" spans="3:8" x14ac:dyDescent="0.15">
      <c r="C2024" s="26"/>
      <c r="D2024" s="22"/>
      <c r="E2024" s="20"/>
      <c r="F2024" s="20"/>
      <c r="G2024" s="20"/>
      <c r="H2024" s="27"/>
    </row>
    <row r="2025" spans="3:8" x14ac:dyDescent="0.15">
      <c r="C2025" s="26"/>
      <c r="D2025" s="22"/>
      <c r="E2025" s="20"/>
      <c r="F2025" s="20"/>
      <c r="G2025" s="20"/>
      <c r="H2025" s="27"/>
    </row>
    <row r="2026" spans="3:8" x14ac:dyDescent="0.15">
      <c r="C2026" s="26"/>
      <c r="D2026" s="22"/>
      <c r="E2026" s="20"/>
      <c r="F2026" s="20"/>
      <c r="G2026" s="20"/>
      <c r="H2026" s="27"/>
    </row>
    <row r="2027" spans="3:8" x14ac:dyDescent="0.15">
      <c r="C2027" s="26"/>
      <c r="D2027" s="22"/>
      <c r="E2027" s="20"/>
      <c r="F2027" s="20"/>
      <c r="G2027" s="20"/>
      <c r="H2027" s="27"/>
    </row>
    <row r="2028" spans="3:8" x14ac:dyDescent="0.15">
      <c r="C2028" s="26"/>
      <c r="D2028" s="22"/>
      <c r="E2028" s="20"/>
      <c r="F2028" s="20"/>
      <c r="G2028" s="20"/>
      <c r="H2028" s="27"/>
    </row>
    <row r="2029" spans="3:8" x14ac:dyDescent="0.15">
      <c r="C2029" s="26"/>
      <c r="D2029" s="22"/>
      <c r="E2029" s="20"/>
      <c r="F2029" s="20"/>
      <c r="G2029" s="20"/>
      <c r="H2029" s="27"/>
    </row>
    <row r="2030" spans="3:8" x14ac:dyDescent="0.15">
      <c r="C2030" s="26"/>
      <c r="D2030" s="22"/>
      <c r="E2030" s="20"/>
      <c r="F2030" s="20"/>
      <c r="G2030" s="20"/>
      <c r="H2030" s="27"/>
    </row>
    <row r="2031" spans="3:8" x14ac:dyDescent="0.15">
      <c r="C2031" s="26"/>
      <c r="D2031" s="22"/>
      <c r="E2031" s="20"/>
      <c r="F2031" s="20"/>
      <c r="G2031" s="20"/>
      <c r="H2031" s="27"/>
    </row>
    <row r="2032" spans="3:8" x14ac:dyDescent="0.15">
      <c r="C2032" s="26"/>
      <c r="D2032" s="22"/>
      <c r="E2032" s="20"/>
      <c r="F2032" s="20"/>
      <c r="G2032" s="20"/>
      <c r="H2032" s="27"/>
    </row>
    <row r="2033" spans="3:8" x14ac:dyDescent="0.15">
      <c r="C2033" s="26"/>
      <c r="D2033" s="22"/>
      <c r="E2033" s="20"/>
      <c r="F2033" s="20"/>
      <c r="G2033" s="20"/>
      <c r="H2033" s="27"/>
    </row>
    <row r="2034" spans="3:8" x14ac:dyDescent="0.15">
      <c r="C2034" s="26"/>
      <c r="D2034" s="22"/>
      <c r="E2034" s="20"/>
      <c r="F2034" s="20"/>
      <c r="G2034" s="20"/>
      <c r="H2034" s="27"/>
    </row>
    <row r="2035" spans="3:8" x14ac:dyDescent="0.15">
      <c r="C2035" s="26"/>
      <c r="D2035" s="22"/>
      <c r="E2035" s="20"/>
      <c r="F2035" s="20"/>
      <c r="G2035" s="20"/>
      <c r="H2035" s="27"/>
    </row>
    <row r="2036" spans="3:8" x14ac:dyDescent="0.15">
      <c r="C2036" s="26"/>
      <c r="D2036" s="22"/>
      <c r="E2036" s="20"/>
      <c r="F2036" s="20"/>
      <c r="G2036" s="20"/>
      <c r="H2036" s="27"/>
    </row>
    <row r="2037" spans="3:8" x14ac:dyDescent="0.15">
      <c r="C2037" s="26"/>
      <c r="D2037" s="22"/>
      <c r="E2037" s="20"/>
      <c r="F2037" s="20"/>
      <c r="G2037" s="20"/>
      <c r="H2037" s="27"/>
    </row>
    <row r="2038" spans="3:8" x14ac:dyDescent="0.15">
      <c r="C2038" s="26"/>
      <c r="D2038" s="22"/>
      <c r="E2038" s="20"/>
      <c r="F2038" s="20"/>
      <c r="G2038" s="20"/>
      <c r="H2038" s="27"/>
    </row>
    <row r="2039" spans="3:8" x14ac:dyDescent="0.15">
      <c r="C2039" s="26"/>
      <c r="D2039" s="22"/>
      <c r="E2039" s="20"/>
      <c r="F2039" s="20"/>
      <c r="G2039" s="20"/>
      <c r="H2039" s="27"/>
    </row>
    <row r="2040" spans="3:8" x14ac:dyDescent="0.15">
      <c r="C2040" s="26"/>
      <c r="D2040" s="22"/>
      <c r="E2040" s="20"/>
      <c r="F2040" s="20"/>
      <c r="G2040" s="20"/>
      <c r="H2040" s="27"/>
    </row>
    <row r="2041" spans="3:8" x14ac:dyDescent="0.15">
      <c r="C2041" s="26"/>
      <c r="D2041" s="22"/>
      <c r="E2041" s="20"/>
      <c r="F2041" s="20"/>
      <c r="G2041" s="20"/>
      <c r="H2041" s="27"/>
    </row>
    <row r="2042" spans="3:8" x14ac:dyDescent="0.15">
      <c r="C2042" s="26"/>
      <c r="D2042" s="22"/>
      <c r="E2042" s="20"/>
      <c r="F2042" s="20"/>
      <c r="G2042" s="20"/>
      <c r="H2042" s="27"/>
    </row>
    <row r="2043" spans="3:8" x14ac:dyDescent="0.15">
      <c r="C2043" s="26"/>
      <c r="D2043" s="22"/>
      <c r="E2043" s="20"/>
      <c r="F2043" s="20"/>
      <c r="G2043" s="20"/>
      <c r="H2043" s="27"/>
    </row>
    <row r="2044" spans="3:8" x14ac:dyDescent="0.15">
      <c r="C2044" s="26"/>
      <c r="D2044" s="22"/>
      <c r="E2044" s="20"/>
      <c r="F2044" s="20"/>
      <c r="G2044" s="20"/>
      <c r="H2044" s="27"/>
    </row>
    <row r="2045" spans="3:8" x14ac:dyDescent="0.15">
      <c r="C2045" s="26"/>
      <c r="D2045" s="22"/>
      <c r="E2045" s="20"/>
      <c r="F2045" s="20"/>
      <c r="G2045" s="20"/>
      <c r="H2045" s="27"/>
    </row>
    <row r="2046" spans="3:8" x14ac:dyDescent="0.15">
      <c r="C2046" s="26"/>
      <c r="D2046" s="22"/>
      <c r="E2046" s="20"/>
      <c r="F2046" s="20"/>
      <c r="G2046" s="20"/>
      <c r="H2046" s="27"/>
    </row>
    <row r="2047" spans="3:8" x14ac:dyDescent="0.15">
      <c r="C2047" s="26"/>
      <c r="D2047" s="22"/>
      <c r="E2047" s="20"/>
      <c r="F2047" s="20"/>
      <c r="G2047" s="20"/>
      <c r="H2047" s="27"/>
    </row>
    <row r="2048" spans="3:8" x14ac:dyDescent="0.15">
      <c r="C2048" s="26"/>
      <c r="D2048" s="22"/>
      <c r="E2048" s="20"/>
      <c r="F2048" s="20"/>
      <c r="G2048" s="20"/>
      <c r="H2048" s="27"/>
    </row>
    <row r="2049" spans="3:8" x14ac:dyDescent="0.15">
      <c r="C2049" s="26"/>
      <c r="D2049" s="22"/>
      <c r="E2049" s="20"/>
      <c r="F2049" s="20"/>
      <c r="G2049" s="20"/>
      <c r="H2049" s="27"/>
    </row>
    <row r="2050" spans="3:8" x14ac:dyDescent="0.15">
      <c r="C2050" s="26"/>
      <c r="D2050" s="22"/>
      <c r="E2050" s="20"/>
      <c r="F2050" s="20"/>
      <c r="G2050" s="20"/>
      <c r="H2050" s="27"/>
    </row>
    <row r="2051" spans="3:8" x14ac:dyDescent="0.15">
      <c r="C2051" s="26"/>
      <c r="D2051" s="22"/>
      <c r="E2051" s="20"/>
      <c r="F2051" s="20"/>
      <c r="G2051" s="20"/>
      <c r="H2051" s="27"/>
    </row>
    <row r="2052" spans="3:8" x14ac:dyDescent="0.15">
      <c r="C2052" s="26"/>
      <c r="D2052" s="22"/>
      <c r="E2052" s="20"/>
      <c r="F2052" s="20"/>
      <c r="G2052" s="20"/>
      <c r="H2052" s="27"/>
    </row>
    <row r="2053" spans="3:8" x14ac:dyDescent="0.15">
      <c r="C2053" s="26"/>
      <c r="D2053" s="22"/>
      <c r="E2053" s="20"/>
      <c r="F2053" s="20"/>
      <c r="G2053" s="20"/>
      <c r="H2053" s="27"/>
    </row>
    <row r="2054" spans="3:8" x14ac:dyDescent="0.15">
      <c r="C2054" s="26"/>
      <c r="D2054" s="22"/>
      <c r="E2054" s="20"/>
      <c r="F2054" s="20"/>
      <c r="G2054" s="20"/>
      <c r="H2054" s="27"/>
    </row>
    <row r="2055" spans="3:8" x14ac:dyDescent="0.15">
      <c r="C2055" s="26"/>
      <c r="D2055" s="22"/>
      <c r="E2055" s="20"/>
      <c r="F2055" s="20"/>
      <c r="G2055" s="20"/>
      <c r="H2055" s="27"/>
    </row>
    <row r="2056" spans="3:8" x14ac:dyDescent="0.15">
      <c r="C2056" s="26"/>
      <c r="D2056" s="22"/>
      <c r="E2056" s="20"/>
      <c r="F2056" s="20"/>
      <c r="G2056" s="20"/>
      <c r="H2056" s="27"/>
    </row>
    <row r="2057" spans="3:8" x14ac:dyDescent="0.15">
      <c r="C2057" s="26"/>
      <c r="D2057" s="22"/>
      <c r="E2057" s="20"/>
      <c r="F2057" s="20"/>
      <c r="G2057" s="20"/>
      <c r="H2057" s="27"/>
    </row>
    <row r="2058" spans="3:8" x14ac:dyDescent="0.15">
      <c r="C2058" s="26"/>
      <c r="D2058" s="22"/>
      <c r="E2058" s="20"/>
      <c r="F2058" s="20"/>
      <c r="G2058" s="20"/>
      <c r="H2058" s="27"/>
    </row>
    <row r="2059" spans="3:8" x14ac:dyDescent="0.15">
      <c r="C2059" s="26"/>
      <c r="D2059" s="22"/>
      <c r="E2059" s="20"/>
      <c r="F2059" s="20"/>
      <c r="G2059" s="20"/>
      <c r="H2059" s="27"/>
    </row>
    <row r="2060" spans="3:8" x14ac:dyDescent="0.15">
      <c r="C2060" s="26"/>
      <c r="D2060" s="22"/>
      <c r="E2060" s="20"/>
      <c r="F2060" s="20"/>
      <c r="G2060" s="20"/>
      <c r="H2060" s="27"/>
    </row>
    <row r="2061" spans="3:8" x14ac:dyDescent="0.15">
      <c r="C2061" s="26"/>
      <c r="D2061" s="22"/>
      <c r="E2061" s="20"/>
      <c r="F2061" s="20"/>
      <c r="G2061" s="20"/>
      <c r="H2061" s="27"/>
    </row>
    <row r="2062" spans="3:8" x14ac:dyDescent="0.15">
      <c r="C2062" s="26"/>
      <c r="D2062" s="22"/>
      <c r="E2062" s="20"/>
      <c r="F2062" s="20"/>
      <c r="G2062" s="20"/>
      <c r="H2062" s="27"/>
    </row>
    <row r="2063" spans="3:8" x14ac:dyDescent="0.15">
      <c r="C2063" s="26"/>
      <c r="D2063" s="22"/>
      <c r="E2063" s="20"/>
      <c r="F2063" s="20"/>
      <c r="G2063" s="20"/>
      <c r="H2063" s="27"/>
    </row>
    <row r="2064" spans="3:8" x14ac:dyDescent="0.15">
      <c r="C2064" s="26"/>
      <c r="D2064" s="22"/>
      <c r="E2064" s="20"/>
      <c r="F2064" s="20"/>
      <c r="G2064" s="20"/>
      <c r="H2064" s="27"/>
    </row>
    <row r="2065" spans="3:8" x14ac:dyDescent="0.15">
      <c r="C2065" s="26"/>
      <c r="D2065" s="22"/>
      <c r="E2065" s="20"/>
      <c r="F2065" s="20"/>
      <c r="G2065" s="20"/>
      <c r="H2065" s="27"/>
    </row>
    <row r="2066" spans="3:8" x14ac:dyDescent="0.15">
      <c r="C2066" s="26"/>
      <c r="D2066" s="22"/>
      <c r="E2066" s="20"/>
      <c r="F2066" s="20"/>
      <c r="G2066" s="20"/>
      <c r="H2066" s="27"/>
    </row>
    <row r="2067" spans="3:8" x14ac:dyDescent="0.15">
      <c r="C2067" s="26"/>
      <c r="D2067" s="22"/>
      <c r="E2067" s="20"/>
      <c r="F2067" s="20"/>
      <c r="G2067" s="20"/>
      <c r="H2067" s="27"/>
    </row>
    <row r="2068" spans="3:8" x14ac:dyDescent="0.15">
      <c r="C2068" s="26"/>
      <c r="D2068" s="22"/>
      <c r="E2068" s="20"/>
      <c r="F2068" s="20"/>
      <c r="G2068" s="20"/>
      <c r="H2068" s="27"/>
    </row>
    <row r="2069" spans="3:8" x14ac:dyDescent="0.15">
      <c r="C2069" s="26"/>
      <c r="D2069" s="22"/>
      <c r="E2069" s="20"/>
      <c r="F2069" s="20"/>
      <c r="G2069" s="20"/>
      <c r="H2069" s="27"/>
    </row>
    <row r="2070" spans="3:8" x14ac:dyDescent="0.15">
      <c r="C2070" s="26"/>
      <c r="D2070" s="22"/>
      <c r="E2070" s="20"/>
      <c r="F2070" s="20"/>
      <c r="G2070" s="20"/>
      <c r="H2070" s="27"/>
    </row>
    <row r="2071" spans="3:8" x14ac:dyDescent="0.15">
      <c r="C2071" s="26"/>
      <c r="D2071" s="22"/>
      <c r="E2071" s="20"/>
      <c r="F2071" s="20"/>
      <c r="G2071" s="20"/>
      <c r="H2071" s="27"/>
    </row>
    <row r="2072" spans="3:8" x14ac:dyDescent="0.15">
      <c r="C2072" s="26"/>
      <c r="D2072" s="22"/>
      <c r="E2072" s="20"/>
      <c r="F2072" s="20"/>
      <c r="G2072" s="20"/>
      <c r="H2072" s="27"/>
    </row>
    <row r="2073" spans="3:8" x14ac:dyDescent="0.15">
      <c r="C2073" s="26"/>
      <c r="D2073" s="22"/>
      <c r="E2073" s="20"/>
      <c r="F2073" s="20"/>
      <c r="G2073" s="20"/>
      <c r="H2073" s="27"/>
    </row>
    <row r="2074" spans="3:8" x14ac:dyDescent="0.15">
      <c r="C2074" s="26"/>
      <c r="D2074" s="22"/>
      <c r="E2074" s="20"/>
      <c r="F2074" s="20"/>
      <c r="G2074" s="20"/>
      <c r="H2074" s="27"/>
    </row>
    <row r="2075" spans="3:8" x14ac:dyDescent="0.15">
      <c r="C2075" s="26"/>
      <c r="D2075" s="22"/>
      <c r="E2075" s="20"/>
      <c r="F2075" s="20"/>
      <c r="G2075" s="20"/>
      <c r="H2075" s="27"/>
    </row>
    <row r="2076" spans="3:8" x14ac:dyDescent="0.15">
      <c r="C2076" s="26"/>
      <c r="D2076" s="22"/>
      <c r="E2076" s="20"/>
      <c r="F2076" s="20"/>
      <c r="G2076" s="20"/>
      <c r="H2076" s="27"/>
    </row>
    <row r="2077" spans="3:8" x14ac:dyDescent="0.15">
      <c r="C2077" s="26"/>
      <c r="D2077" s="22"/>
      <c r="E2077" s="20"/>
      <c r="F2077" s="20"/>
      <c r="G2077" s="20"/>
      <c r="H2077" s="27"/>
    </row>
    <row r="2078" spans="3:8" x14ac:dyDescent="0.15">
      <c r="C2078" s="26"/>
      <c r="D2078" s="22"/>
      <c r="E2078" s="20"/>
      <c r="F2078" s="20"/>
      <c r="G2078" s="20"/>
      <c r="H2078" s="27"/>
    </row>
    <row r="2079" spans="3:8" x14ac:dyDescent="0.15">
      <c r="C2079" s="26"/>
      <c r="D2079" s="22"/>
      <c r="E2079" s="20"/>
      <c r="F2079" s="20"/>
      <c r="G2079" s="20"/>
      <c r="H2079" s="27"/>
    </row>
    <row r="2080" spans="3:8" x14ac:dyDescent="0.15">
      <c r="C2080" s="26"/>
      <c r="D2080" s="22"/>
      <c r="E2080" s="20"/>
      <c r="F2080" s="20"/>
      <c r="G2080" s="20"/>
      <c r="H2080" s="27"/>
    </row>
    <row r="2081" spans="3:8" x14ac:dyDescent="0.15">
      <c r="C2081" s="26"/>
      <c r="D2081" s="22"/>
      <c r="E2081" s="20"/>
      <c r="F2081" s="20"/>
      <c r="G2081" s="20"/>
      <c r="H2081" s="27"/>
    </row>
    <row r="2082" spans="3:8" x14ac:dyDescent="0.15">
      <c r="C2082" s="26"/>
      <c r="D2082" s="22"/>
      <c r="E2082" s="20"/>
      <c r="F2082" s="20"/>
      <c r="G2082" s="20"/>
      <c r="H2082" s="27"/>
    </row>
    <row r="2083" spans="3:8" x14ac:dyDescent="0.15">
      <c r="C2083" s="26"/>
      <c r="D2083" s="22"/>
      <c r="E2083" s="20"/>
      <c r="F2083" s="20"/>
      <c r="G2083" s="20"/>
      <c r="H2083" s="27"/>
    </row>
    <row r="2084" spans="3:8" x14ac:dyDescent="0.15">
      <c r="C2084" s="26"/>
      <c r="D2084" s="22"/>
      <c r="E2084" s="20"/>
      <c r="F2084" s="20"/>
      <c r="G2084" s="20"/>
      <c r="H2084" s="27"/>
    </row>
    <row r="2085" spans="3:8" x14ac:dyDescent="0.15">
      <c r="C2085" s="26"/>
      <c r="D2085" s="22"/>
      <c r="E2085" s="20"/>
      <c r="F2085" s="20"/>
      <c r="G2085" s="20"/>
      <c r="H2085" s="27"/>
    </row>
    <row r="2086" spans="3:8" x14ac:dyDescent="0.15">
      <c r="C2086" s="26"/>
      <c r="D2086" s="22"/>
      <c r="E2086" s="20"/>
      <c r="F2086" s="20"/>
      <c r="G2086" s="20"/>
      <c r="H2086" s="27"/>
    </row>
    <row r="2087" spans="3:8" x14ac:dyDescent="0.15">
      <c r="C2087" s="26"/>
      <c r="D2087" s="22"/>
      <c r="E2087" s="20"/>
      <c r="F2087" s="20"/>
      <c r="G2087" s="20"/>
      <c r="H2087" s="27"/>
    </row>
    <row r="2088" spans="3:8" x14ac:dyDescent="0.15">
      <c r="C2088" s="26"/>
      <c r="D2088" s="22"/>
      <c r="E2088" s="20"/>
      <c r="F2088" s="20"/>
      <c r="G2088" s="20"/>
      <c r="H2088" s="27"/>
    </row>
    <row r="2089" spans="3:8" x14ac:dyDescent="0.15">
      <c r="C2089" s="26"/>
      <c r="D2089" s="22"/>
      <c r="E2089" s="20"/>
      <c r="F2089" s="20"/>
      <c r="G2089" s="20"/>
      <c r="H2089" s="27"/>
    </row>
    <row r="2090" spans="3:8" x14ac:dyDescent="0.15">
      <c r="C2090" s="26"/>
      <c r="D2090" s="22"/>
      <c r="E2090" s="20"/>
      <c r="F2090" s="20"/>
      <c r="G2090" s="20"/>
      <c r="H2090" s="27"/>
    </row>
    <row r="2091" spans="3:8" x14ac:dyDescent="0.15">
      <c r="C2091" s="26"/>
      <c r="D2091" s="22"/>
      <c r="E2091" s="20"/>
      <c r="F2091" s="20"/>
      <c r="G2091" s="20"/>
      <c r="H2091" s="27"/>
    </row>
    <row r="2092" spans="3:8" x14ac:dyDescent="0.15">
      <c r="C2092" s="26"/>
      <c r="D2092" s="22"/>
      <c r="E2092" s="20"/>
      <c r="F2092" s="20"/>
      <c r="G2092" s="20"/>
      <c r="H2092" s="27"/>
    </row>
    <row r="2093" spans="3:8" x14ac:dyDescent="0.15">
      <c r="C2093" s="26"/>
      <c r="D2093" s="22"/>
      <c r="E2093" s="20"/>
      <c r="F2093" s="20"/>
      <c r="G2093" s="20"/>
      <c r="H2093" s="27"/>
    </row>
    <row r="2094" spans="3:8" x14ac:dyDescent="0.15">
      <c r="C2094" s="26"/>
      <c r="D2094" s="22"/>
      <c r="E2094" s="20"/>
      <c r="F2094" s="20"/>
      <c r="G2094" s="20"/>
      <c r="H2094" s="27"/>
    </row>
    <row r="2095" spans="3:8" x14ac:dyDescent="0.15">
      <c r="C2095" s="26"/>
      <c r="D2095" s="22"/>
      <c r="E2095" s="20"/>
      <c r="F2095" s="20"/>
      <c r="G2095" s="20"/>
      <c r="H2095" s="27"/>
    </row>
    <row r="2096" spans="3:8" x14ac:dyDescent="0.15">
      <c r="C2096" s="26"/>
      <c r="D2096" s="22"/>
      <c r="E2096" s="20"/>
      <c r="F2096" s="20"/>
      <c r="G2096" s="20"/>
      <c r="H2096" s="27"/>
    </row>
    <row r="2097" spans="3:8" x14ac:dyDescent="0.15">
      <c r="C2097" s="26"/>
      <c r="D2097" s="22"/>
      <c r="E2097" s="20"/>
      <c r="F2097" s="20"/>
      <c r="G2097" s="20"/>
      <c r="H2097" s="27"/>
    </row>
    <row r="2098" spans="3:8" x14ac:dyDescent="0.15">
      <c r="C2098" s="26"/>
      <c r="D2098" s="22"/>
      <c r="E2098" s="20"/>
      <c r="F2098" s="20"/>
      <c r="G2098" s="20"/>
      <c r="H2098" s="27"/>
    </row>
    <row r="2099" spans="3:8" x14ac:dyDescent="0.15">
      <c r="C2099" s="26"/>
      <c r="D2099" s="22"/>
      <c r="E2099" s="20"/>
      <c r="F2099" s="20"/>
      <c r="G2099" s="20"/>
      <c r="H2099" s="27"/>
    </row>
    <row r="2100" spans="3:8" x14ac:dyDescent="0.15">
      <c r="C2100" s="26"/>
      <c r="D2100" s="22"/>
      <c r="E2100" s="20"/>
      <c r="F2100" s="20"/>
      <c r="G2100" s="20"/>
      <c r="H2100" s="27"/>
    </row>
    <row r="2101" spans="3:8" x14ac:dyDescent="0.15">
      <c r="C2101" s="26"/>
      <c r="D2101" s="22"/>
      <c r="E2101" s="20"/>
      <c r="F2101" s="20"/>
      <c r="G2101" s="20"/>
      <c r="H2101" s="27"/>
    </row>
    <row r="2102" spans="3:8" x14ac:dyDescent="0.15">
      <c r="C2102" s="26"/>
      <c r="D2102" s="22"/>
      <c r="E2102" s="20"/>
      <c r="F2102" s="20"/>
      <c r="G2102" s="20"/>
      <c r="H2102" s="27"/>
    </row>
    <row r="2103" spans="3:8" x14ac:dyDescent="0.15">
      <c r="C2103" s="26"/>
      <c r="D2103" s="22"/>
      <c r="E2103" s="20"/>
      <c r="F2103" s="20"/>
      <c r="G2103" s="20"/>
      <c r="H2103" s="27"/>
    </row>
    <row r="2104" spans="3:8" x14ac:dyDescent="0.15">
      <c r="C2104" s="26"/>
      <c r="D2104" s="22"/>
      <c r="E2104" s="20"/>
      <c r="F2104" s="20"/>
      <c r="G2104" s="20"/>
      <c r="H2104" s="27"/>
    </row>
    <row r="2105" spans="3:8" x14ac:dyDescent="0.15">
      <c r="C2105" s="26"/>
      <c r="D2105" s="22"/>
      <c r="E2105" s="20"/>
      <c r="F2105" s="20"/>
      <c r="G2105" s="20"/>
      <c r="H2105" s="27"/>
    </row>
    <row r="2106" spans="3:8" x14ac:dyDescent="0.15">
      <c r="C2106" s="26"/>
      <c r="D2106" s="22"/>
      <c r="E2106" s="20"/>
      <c r="F2106" s="20"/>
      <c r="G2106" s="20"/>
      <c r="H2106" s="27"/>
    </row>
    <row r="2107" spans="3:8" x14ac:dyDescent="0.15">
      <c r="C2107" s="26"/>
      <c r="D2107" s="22"/>
      <c r="E2107" s="20"/>
      <c r="F2107" s="20"/>
      <c r="G2107" s="20"/>
      <c r="H2107" s="27"/>
    </row>
    <row r="2108" spans="3:8" x14ac:dyDescent="0.15">
      <c r="C2108" s="26"/>
      <c r="D2108" s="22"/>
      <c r="E2108" s="20"/>
      <c r="F2108" s="20"/>
      <c r="G2108" s="20"/>
      <c r="H2108" s="27"/>
    </row>
    <row r="2109" spans="3:8" x14ac:dyDescent="0.15">
      <c r="C2109" s="26"/>
      <c r="D2109" s="22"/>
      <c r="E2109" s="20"/>
      <c r="F2109" s="20"/>
      <c r="G2109" s="20"/>
      <c r="H2109" s="27"/>
    </row>
    <row r="2110" spans="3:8" x14ac:dyDescent="0.15">
      <c r="C2110" s="26"/>
      <c r="D2110" s="22"/>
      <c r="E2110" s="20"/>
      <c r="F2110" s="20"/>
      <c r="G2110" s="20"/>
      <c r="H2110" s="27"/>
    </row>
    <row r="2111" spans="3:8" x14ac:dyDescent="0.15">
      <c r="C2111" s="26"/>
      <c r="D2111" s="22"/>
      <c r="E2111" s="20"/>
      <c r="F2111" s="20"/>
      <c r="G2111" s="20"/>
      <c r="H2111" s="27"/>
    </row>
    <row r="2112" spans="3:8" x14ac:dyDescent="0.15">
      <c r="C2112" s="26"/>
      <c r="D2112" s="22"/>
      <c r="E2112" s="20"/>
      <c r="F2112" s="20"/>
      <c r="G2112" s="20"/>
      <c r="H2112" s="27"/>
    </row>
    <row r="2113" spans="3:8" x14ac:dyDescent="0.15">
      <c r="C2113" s="26"/>
      <c r="D2113" s="22"/>
      <c r="E2113" s="20"/>
      <c r="F2113" s="20"/>
      <c r="G2113" s="20"/>
      <c r="H2113" s="27"/>
    </row>
    <row r="2114" spans="3:8" x14ac:dyDescent="0.15">
      <c r="C2114" s="26"/>
      <c r="D2114" s="22"/>
      <c r="E2114" s="20"/>
      <c r="F2114" s="20"/>
      <c r="G2114" s="20"/>
      <c r="H2114" s="27"/>
    </row>
    <row r="2115" spans="3:8" x14ac:dyDescent="0.15">
      <c r="C2115" s="26"/>
      <c r="D2115" s="22"/>
      <c r="E2115" s="20"/>
      <c r="F2115" s="20"/>
      <c r="G2115" s="20"/>
      <c r="H2115" s="27"/>
    </row>
    <row r="2116" spans="3:8" x14ac:dyDescent="0.15">
      <c r="C2116" s="26"/>
      <c r="D2116" s="22"/>
      <c r="E2116" s="20"/>
      <c r="F2116" s="20"/>
      <c r="G2116" s="20"/>
      <c r="H2116" s="27"/>
    </row>
    <row r="2117" spans="3:8" x14ac:dyDescent="0.15">
      <c r="C2117" s="26"/>
      <c r="D2117" s="22"/>
      <c r="E2117" s="20"/>
      <c r="F2117" s="20"/>
      <c r="G2117" s="20"/>
      <c r="H2117" s="27"/>
    </row>
    <row r="2118" spans="3:8" x14ac:dyDescent="0.15">
      <c r="C2118" s="26"/>
      <c r="D2118" s="22"/>
      <c r="E2118" s="20"/>
      <c r="F2118" s="20"/>
      <c r="G2118" s="20"/>
      <c r="H2118" s="27"/>
    </row>
    <row r="2119" spans="3:8" x14ac:dyDescent="0.15">
      <c r="C2119" s="26"/>
      <c r="D2119" s="22"/>
      <c r="E2119" s="20"/>
      <c r="F2119" s="20"/>
      <c r="G2119" s="20"/>
      <c r="H2119" s="27"/>
    </row>
    <row r="2120" spans="3:8" x14ac:dyDescent="0.15">
      <c r="C2120" s="26"/>
      <c r="D2120" s="22"/>
      <c r="E2120" s="20"/>
      <c r="F2120" s="20"/>
      <c r="G2120" s="20"/>
      <c r="H2120" s="27"/>
    </row>
    <row r="2121" spans="3:8" x14ac:dyDescent="0.15">
      <c r="C2121" s="26"/>
      <c r="D2121" s="22"/>
      <c r="E2121" s="20"/>
      <c r="F2121" s="20"/>
      <c r="G2121" s="20"/>
      <c r="H2121" s="27"/>
    </row>
    <row r="2122" spans="3:8" x14ac:dyDescent="0.15">
      <c r="C2122" s="26"/>
      <c r="D2122" s="22"/>
      <c r="E2122" s="20"/>
      <c r="F2122" s="20"/>
      <c r="G2122" s="20"/>
      <c r="H2122" s="27"/>
    </row>
    <row r="2123" spans="3:8" x14ac:dyDescent="0.15">
      <c r="C2123" s="26"/>
      <c r="D2123" s="22"/>
      <c r="E2123" s="20"/>
      <c r="F2123" s="20"/>
      <c r="G2123" s="20"/>
      <c r="H2123" s="27"/>
    </row>
    <row r="2124" spans="3:8" x14ac:dyDescent="0.15">
      <c r="C2124" s="26"/>
      <c r="D2124" s="22"/>
      <c r="E2124" s="20"/>
      <c r="F2124" s="20"/>
      <c r="G2124" s="20"/>
      <c r="H2124" s="27"/>
    </row>
    <row r="2125" spans="3:8" x14ac:dyDescent="0.15">
      <c r="C2125" s="26"/>
      <c r="D2125" s="22"/>
      <c r="E2125" s="20"/>
      <c r="F2125" s="20"/>
      <c r="G2125" s="20"/>
      <c r="H2125" s="27"/>
    </row>
    <row r="2126" spans="3:8" x14ac:dyDescent="0.15">
      <c r="C2126" s="26"/>
      <c r="D2126" s="22"/>
      <c r="E2126" s="20"/>
      <c r="F2126" s="20"/>
      <c r="G2126" s="20"/>
      <c r="H2126" s="27"/>
    </row>
    <row r="2127" spans="3:8" x14ac:dyDescent="0.15">
      <c r="C2127" s="26"/>
      <c r="D2127" s="22"/>
      <c r="E2127" s="20"/>
      <c r="F2127" s="20"/>
      <c r="G2127" s="20"/>
      <c r="H2127" s="27"/>
    </row>
    <row r="2128" spans="3:8" x14ac:dyDescent="0.15">
      <c r="C2128" s="26"/>
      <c r="D2128" s="22"/>
      <c r="E2128" s="20"/>
      <c r="F2128" s="20"/>
      <c r="G2128" s="20"/>
      <c r="H2128" s="27"/>
    </row>
    <row r="2129" spans="3:8" x14ac:dyDescent="0.15">
      <c r="C2129" s="26"/>
      <c r="D2129" s="22"/>
      <c r="E2129" s="20"/>
      <c r="F2129" s="20"/>
      <c r="G2129" s="20"/>
      <c r="H2129" s="27"/>
    </row>
    <row r="2130" spans="3:8" x14ac:dyDescent="0.15">
      <c r="C2130" s="26"/>
      <c r="D2130" s="22"/>
      <c r="E2130" s="20"/>
      <c r="F2130" s="20"/>
      <c r="G2130" s="20"/>
      <c r="H2130" s="27"/>
    </row>
    <row r="2131" spans="3:8" x14ac:dyDescent="0.15">
      <c r="C2131" s="26"/>
      <c r="D2131" s="22"/>
      <c r="E2131" s="20"/>
      <c r="F2131" s="20"/>
      <c r="G2131" s="20"/>
      <c r="H2131" s="27"/>
    </row>
    <row r="2132" spans="3:8" x14ac:dyDescent="0.15">
      <c r="C2132" s="26"/>
      <c r="D2132" s="22"/>
      <c r="E2132" s="20"/>
      <c r="F2132" s="20"/>
      <c r="G2132" s="20"/>
      <c r="H2132" s="27"/>
    </row>
    <row r="2133" spans="3:8" x14ac:dyDescent="0.15">
      <c r="C2133" s="26"/>
      <c r="D2133" s="22"/>
      <c r="E2133" s="20"/>
      <c r="F2133" s="20"/>
      <c r="G2133" s="20"/>
      <c r="H2133" s="27"/>
    </row>
    <row r="2134" spans="3:8" x14ac:dyDescent="0.15">
      <c r="C2134" s="26"/>
      <c r="D2134" s="22"/>
      <c r="E2134" s="20"/>
      <c r="F2134" s="20"/>
      <c r="G2134" s="20"/>
      <c r="H2134" s="27"/>
    </row>
    <row r="2135" spans="3:8" x14ac:dyDescent="0.15">
      <c r="C2135" s="26"/>
      <c r="D2135" s="22"/>
      <c r="E2135" s="20"/>
      <c r="F2135" s="20"/>
      <c r="G2135" s="20"/>
      <c r="H2135" s="27"/>
    </row>
    <row r="2136" spans="3:8" x14ac:dyDescent="0.15">
      <c r="C2136" s="26"/>
      <c r="D2136" s="22"/>
      <c r="E2136" s="20"/>
      <c r="F2136" s="20"/>
      <c r="G2136" s="20"/>
      <c r="H2136" s="27"/>
    </row>
    <row r="2137" spans="3:8" x14ac:dyDescent="0.15">
      <c r="C2137" s="26"/>
      <c r="D2137" s="22"/>
      <c r="E2137" s="20"/>
      <c r="F2137" s="20"/>
      <c r="G2137" s="20"/>
      <c r="H2137" s="27"/>
    </row>
    <row r="2138" spans="3:8" x14ac:dyDescent="0.15">
      <c r="C2138" s="26"/>
      <c r="D2138" s="22"/>
      <c r="E2138" s="20"/>
      <c r="F2138" s="20"/>
      <c r="G2138" s="20"/>
      <c r="H2138" s="27"/>
    </row>
    <row r="2139" spans="3:8" x14ac:dyDescent="0.15">
      <c r="C2139" s="26"/>
      <c r="D2139" s="22"/>
      <c r="E2139" s="20"/>
      <c r="F2139" s="20"/>
      <c r="G2139" s="20"/>
      <c r="H2139" s="27"/>
    </row>
    <row r="2140" spans="3:8" x14ac:dyDescent="0.15">
      <c r="C2140" s="26"/>
      <c r="D2140" s="22"/>
      <c r="E2140" s="20"/>
      <c r="F2140" s="20"/>
      <c r="G2140" s="20"/>
      <c r="H2140" s="27"/>
    </row>
    <row r="2141" spans="3:8" x14ac:dyDescent="0.15">
      <c r="C2141" s="26"/>
      <c r="D2141" s="22"/>
      <c r="E2141" s="20"/>
      <c r="F2141" s="20"/>
      <c r="G2141" s="20"/>
      <c r="H2141" s="27"/>
    </row>
    <row r="2142" spans="3:8" x14ac:dyDescent="0.15">
      <c r="C2142" s="26"/>
      <c r="D2142" s="22"/>
      <c r="E2142" s="20"/>
      <c r="F2142" s="20"/>
      <c r="G2142" s="20"/>
      <c r="H2142" s="27"/>
    </row>
    <row r="2143" spans="3:8" x14ac:dyDescent="0.15">
      <c r="C2143" s="26"/>
      <c r="D2143" s="22"/>
      <c r="E2143" s="20"/>
      <c r="F2143" s="20"/>
      <c r="G2143" s="20"/>
      <c r="H2143" s="27"/>
    </row>
    <row r="2144" spans="3:8" x14ac:dyDescent="0.15">
      <c r="C2144" s="26"/>
      <c r="D2144" s="22"/>
      <c r="E2144" s="20"/>
      <c r="F2144" s="20"/>
      <c r="G2144" s="20"/>
      <c r="H2144" s="27"/>
    </row>
    <row r="2145" spans="3:8" x14ac:dyDescent="0.15">
      <c r="C2145" s="26"/>
      <c r="D2145" s="22"/>
      <c r="E2145" s="20"/>
      <c r="F2145" s="20"/>
      <c r="G2145" s="20"/>
      <c r="H2145" s="27"/>
    </row>
    <row r="2146" spans="3:8" x14ac:dyDescent="0.15">
      <c r="C2146" s="26"/>
      <c r="D2146" s="22"/>
      <c r="E2146" s="20"/>
      <c r="F2146" s="20"/>
      <c r="G2146" s="20"/>
      <c r="H2146" s="27"/>
    </row>
    <row r="2147" spans="3:8" x14ac:dyDescent="0.15">
      <c r="C2147" s="26"/>
      <c r="D2147" s="22"/>
      <c r="E2147" s="20"/>
      <c r="F2147" s="20"/>
      <c r="G2147" s="20"/>
      <c r="H2147" s="27"/>
    </row>
    <row r="2148" spans="3:8" x14ac:dyDescent="0.15">
      <c r="C2148" s="26"/>
      <c r="D2148" s="22"/>
      <c r="E2148" s="20"/>
      <c r="F2148" s="20"/>
      <c r="G2148" s="20"/>
      <c r="H2148" s="27"/>
    </row>
    <row r="2149" spans="3:8" x14ac:dyDescent="0.15">
      <c r="C2149" s="26"/>
      <c r="D2149" s="22"/>
      <c r="E2149" s="20"/>
      <c r="F2149" s="20"/>
      <c r="G2149" s="20"/>
      <c r="H2149" s="27"/>
    </row>
    <row r="2150" spans="3:8" x14ac:dyDescent="0.15">
      <c r="C2150" s="26"/>
      <c r="D2150" s="22"/>
      <c r="E2150" s="20"/>
      <c r="F2150" s="20"/>
      <c r="G2150" s="20"/>
      <c r="H2150" s="27"/>
    </row>
    <row r="2151" spans="3:8" x14ac:dyDescent="0.15">
      <c r="C2151" s="26"/>
      <c r="D2151" s="22"/>
      <c r="E2151" s="20"/>
      <c r="F2151" s="20"/>
      <c r="G2151" s="20"/>
      <c r="H2151" s="27"/>
    </row>
    <row r="2152" spans="3:8" x14ac:dyDescent="0.15">
      <c r="C2152" s="26"/>
      <c r="D2152" s="22"/>
      <c r="E2152" s="20"/>
      <c r="F2152" s="20"/>
      <c r="G2152" s="20"/>
      <c r="H2152" s="27"/>
    </row>
    <row r="2153" spans="3:8" x14ac:dyDescent="0.15">
      <c r="C2153" s="26"/>
      <c r="D2153" s="22"/>
      <c r="E2153" s="20"/>
      <c r="F2153" s="20"/>
      <c r="G2153" s="20"/>
      <c r="H2153" s="27"/>
    </row>
    <row r="2154" spans="3:8" x14ac:dyDescent="0.15">
      <c r="C2154" s="26"/>
      <c r="D2154" s="22"/>
      <c r="E2154" s="20"/>
      <c r="F2154" s="20"/>
      <c r="G2154" s="20"/>
      <c r="H2154" s="27"/>
    </row>
    <row r="2155" spans="3:8" x14ac:dyDescent="0.15">
      <c r="C2155" s="26"/>
      <c r="D2155" s="22"/>
      <c r="E2155" s="20"/>
      <c r="F2155" s="20"/>
      <c r="G2155" s="20"/>
      <c r="H2155" s="27"/>
    </row>
    <row r="2156" spans="3:8" x14ac:dyDescent="0.15">
      <c r="C2156" s="26"/>
      <c r="D2156" s="22"/>
      <c r="E2156" s="20"/>
      <c r="F2156" s="20"/>
      <c r="G2156" s="20"/>
      <c r="H2156" s="27"/>
    </row>
    <row r="2157" spans="3:8" x14ac:dyDescent="0.15">
      <c r="C2157" s="26"/>
      <c r="D2157" s="22"/>
      <c r="E2157" s="20"/>
      <c r="F2157" s="20"/>
      <c r="G2157" s="20"/>
      <c r="H2157" s="27"/>
    </row>
    <row r="2158" spans="3:8" x14ac:dyDescent="0.15">
      <c r="C2158" s="26"/>
      <c r="D2158" s="22"/>
      <c r="E2158" s="20"/>
      <c r="F2158" s="20"/>
      <c r="G2158" s="20"/>
      <c r="H2158" s="27"/>
    </row>
    <row r="2159" spans="3:8" x14ac:dyDescent="0.15">
      <c r="C2159" s="26"/>
      <c r="D2159" s="22"/>
      <c r="E2159" s="20"/>
      <c r="F2159" s="20"/>
      <c r="G2159" s="20"/>
      <c r="H2159" s="27"/>
    </row>
    <row r="2160" spans="3:8" x14ac:dyDescent="0.15">
      <c r="C2160" s="26"/>
      <c r="D2160" s="22"/>
      <c r="E2160" s="20"/>
      <c r="F2160" s="20"/>
      <c r="G2160" s="20"/>
      <c r="H2160" s="27"/>
    </row>
    <row r="2161" spans="3:8" x14ac:dyDescent="0.15">
      <c r="C2161" s="26"/>
      <c r="D2161" s="22"/>
      <c r="E2161" s="20"/>
      <c r="F2161" s="20"/>
      <c r="G2161" s="20"/>
      <c r="H2161" s="27"/>
    </row>
    <row r="2162" spans="3:8" x14ac:dyDescent="0.15">
      <c r="C2162" s="26"/>
      <c r="D2162" s="22"/>
      <c r="E2162" s="20"/>
      <c r="F2162" s="20"/>
      <c r="G2162" s="20"/>
      <c r="H2162" s="27"/>
    </row>
    <row r="2163" spans="3:8" x14ac:dyDescent="0.15">
      <c r="C2163" s="26"/>
      <c r="D2163" s="22"/>
      <c r="E2163" s="20"/>
      <c r="F2163" s="20"/>
      <c r="G2163" s="20"/>
      <c r="H2163" s="27"/>
    </row>
    <row r="2164" spans="3:8" x14ac:dyDescent="0.15">
      <c r="C2164" s="26"/>
      <c r="D2164" s="22"/>
      <c r="E2164" s="20"/>
      <c r="F2164" s="20"/>
      <c r="G2164" s="20"/>
      <c r="H2164" s="27"/>
    </row>
    <row r="2165" spans="3:8" x14ac:dyDescent="0.15">
      <c r="C2165" s="26"/>
      <c r="D2165" s="22"/>
      <c r="E2165" s="20"/>
      <c r="F2165" s="20"/>
      <c r="G2165" s="20"/>
      <c r="H2165" s="27"/>
    </row>
    <row r="2166" spans="3:8" x14ac:dyDescent="0.15">
      <c r="C2166" s="26"/>
      <c r="D2166" s="22"/>
      <c r="E2166" s="20"/>
      <c r="F2166" s="20"/>
      <c r="G2166" s="20"/>
      <c r="H2166" s="27"/>
    </row>
    <row r="2167" spans="3:8" x14ac:dyDescent="0.15">
      <c r="C2167" s="26"/>
      <c r="D2167" s="22"/>
      <c r="E2167" s="20"/>
      <c r="F2167" s="20"/>
      <c r="G2167" s="20"/>
      <c r="H2167" s="27"/>
    </row>
    <row r="2168" spans="3:8" x14ac:dyDescent="0.15">
      <c r="C2168" s="26"/>
      <c r="D2168" s="22"/>
      <c r="E2168" s="20"/>
      <c r="F2168" s="20"/>
      <c r="G2168" s="20"/>
      <c r="H2168" s="27"/>
    </row>
    <row r="2169" spans="3:8" x14ac:dyDescent="0.15">
      <c r="C2169" s="26"/>
      <c r="D2169" s="22"/>
      <c r="E2169" s="20"/>
      <c r="F2169" s="20"/>
      <c r="G2169" s="20"/>
      <c r="H2169" s="27"/>
    </row>
    <row r="2170" spans="3:8" x14ac:dyDescent="0.15">
      <c r="C2170" s="26"/>
      <c r="D2170" s="22"/>
      <c r="E2170" s="20"/>
      <c r="F2170" s="20"/>
      <c r="G2170" s="20"/>
      <c r="H2170" s="27"/>
    </row>
    <row r="2171" spans="3:8" x14ac:dyDescent="0.15">
      <c r="C2171" s="26"/>
      <c r="D2171" s="22"/>
      <c r="E2171" s="20"/>
      <c r="F2171" s="20"/>
      <c r="G2171" s="20"/>
      <c r="H2171" s="27"/>
    </row>
    <row r="2172" spans="3:8" x14ac:dyDescent="0.15">
      <c r="C2172" s="26"/>
      <c r="D2172" s="22"/>
      <c r="E2172" s="20"/>
      <c r="F2172" s="20"/>
      <c r="G2172" s="20"/>
      <c r="H2172" s="27"/>
    </row>
    <row r="2173" spans="3:8" x14ac:dyDescent="0.15">
      <c r="C2173" s="26"/>
      <c r="D2173" s="22"/>
      <c r="E2173" s="20"/>
      <c r="F2173" s="20"/>
      <c r="G2173" s="20"/>
      <c r="H2173" s="27"/>
    </row>
    <row r="2174" spans="3:8" x14ac:dyDescent="0.15">
      <c r="C2174" s="26"/>
      <c r="D2174" s="22"/>
      <c r="E2174" s="20"/>
      <c r="F2174" s="20"/>
      <c r="G2174" s="20"/>
      <c r="H2174" s="27"/>
    </row>
    <row r="2175" spans="3:8" x14ac:dyDescent="0.15">
      <c r="C2175" s="26"/>
      <c r="D2175" s="22"/>
      <c r="E2175" s="20"/>
      <c r="F2175" s="20"/>
      <c r="G2175" s="20"/>
      <c r="H2175" s="27"/>
    </row>
    <row r="2176" spans="3:8" x14ac:dyDescent="0.15">
      <c r="C2176" s="26"/>
      <c r="D2176" s="22"/>
      <c r="E2176" s="20"/>
      <c r="F2176" s="20"/>
      <c r="G2176" s="20"/>
      <c r="H2176" s="27"/>
    </row>
    <row r="2177" spans="3:8" x14ac:dyDescent="0.15">
      <c r="C2177" s="26"/>
      <c r="D2177" s="22"/>
      <c r="E2177" s="20"/>
      <c r="F2177" s="20"/>
      <c r="G2177" s="20"/>
      <c r="H2177" s="27"/>
    </row>
    <row r="2178" spans="3:8" x14ac:dyDescent="0.15">
      <c r="C2178" s="26"/>
      <c r="D2178" s="22"/>
      <c r="E2178" s="20"/>
      <c r="F2178" s="20"/>
      <c r="G2178" s="20"/>
      <c r="H2178" s="27"/>
    </row>
    <row r="2179" spans="3:8" x14ac:dyDescent="0.15">
      <c r="C2179" s="26"/>
      <c r="D2179" s="22"/>
      <c r="E2179" s="20"/>
      <c r="F2179" s="20"/>
      <c r="G2179" s="20"/>
      <c r="H2179" s="27"/>
    </row>
    <row r="2180" spans="3:8" x14ac:dyDescent="0.15">
      <c r="C2180" s="26"/>
      <c r="D2180" s="22"/>
      <c r="E2180" s="20"/>
      <c r="F2180" s="20"/>
      <c r="G2180" s="20"/>
      <c r="H2180" s="27"/>
    </row>
    <row r="2181" spans="3:8" x14ac:dyDescent="0.15">
      <c r="C2181" s="26"/>
      <c r="D2181" s="22"/>
      <c r="E2181" s="20"/>
      <c r="F2181" s="20"/>
      <c r="G2181" s="20"/>
      <c r="H2181" s="27"/>
    </row>
    <row r="2182" spans="3:8" x14ac:dyDescent="0.15">
      <c r="C2182" s="26"/>
      <c r="D2182" s="22"/>
      <c r="E2182" s="20"/>
      <c r="F2182" s="20"/>
      <c r="G2182" s="20"/>
      <c r="H2182" s="27"/>
    </row>
    <row r="2183" spans="3:8" x14ac:dyDescent="0.15">
      <c r="C2183" s="26"/>
      <c r="D2183" s="22"/>
      <c r="E2183" s="20"/>
      <c r="F2183" s="20"/>
      <c r="G2183" s="20"/>
      <c r="H2183" s="27"/>
    </row>
    <row r="2184" spans="3:8" x14ac:dyDescent="0.15">
      <c r="C2184" s="26"/>
      <c r="D2184" s="22"/>
      <c r="E2184" s="20"/>
      <c r="F2184" s="20"/>
      <c r="G2184" s="20"/>
      <c r="H2184" s="27"/>
    </row>
    <row r="2185" spans="3:8" x14ac:dyDescent="0.15">
      <c r="C2185" s="26"/>
      <c r="D2185" s="22"/>
      <c r="E2185" s="20"/>
      <c r="F2185" s="20"/>
      <c r="G2185" s="20"/>
      <c r="H2185" s="27"/>
    </row>
    <row r="2186" spans="3:8" x14ac:dyDescent="0.15">
      <c r="C2186" s="26"/>
      <c r="D2186" s="22"/>
      <c r="E2186" s="20"/>
      <c r="F2186" s="20"/>
      <c r="G2186" s="20"/>
      <c r="H2186" s="27"/>
    </row>
    <row r="2187" spans="3:8" x14ac:dyDescent="0.15">
      <c r="C2187" s="26"/>
      <c r="D2187" s="22"/>
      <c r="E2187" s="20"/>
      <c r="F2187" s="20"/>
      <c r="G2187" s="20"/>
      <c r="H2187" s="27"/>
    </row>
    <row r="2188" spans="3:8" x14ac:dyDescent="0.15">
      <c r="C2188" s="26"/>
      <c r="D2188" s="22"/>
      <c r="E2188" s="20"/>
      <c r="F2188" s="20"/>
      <c r="G2188" s="20"/>
      <c r="H2188" s="27"/>
    </row>
    <row r="2189" spans="3:8" x14ac:dyDescent="0.15">
      <c r="C2189" s="26"/>
      <c r="D2189" s="22"/>
      <c r="E2189" s="20"/>
      <c r="F2189" s="20"/>
      <c r="G2189" s="20"/>
      <c r="H2189" s="27"/>
    </row>
    <row r="2190" spans="3:8" x14ac:dyDescent="0.15">
      <c r="C2190" s="26"/>
      <c r="D2190" s="22"/>
      <c r="E2190" s="20"/>
      <c r="F2190" s="20"/>
      <c r="G2190" s="20"/>
      <c r="H2190" s="27"/>
    </row>
    <row r="2191" spans="3:8" x14ac:dyDescent="0.15">
      <c r="C2191" s="26"/>
      <c r="D2191" s="22"/>
      <c r="E2191" s="20"/>
      <c r="F2191" s="20"/>
      <c r="G2191" s="20"/>
      <c r="H2191" s="27"/>
    </row>
    <row r="2192" spans="3:8" x14ac:dyDescent="0.15">
      <c r="C2192" s="26"/>
      <c r="D2192" s="22"/>
      <c r="E2192" s="20"/>
      <c r="F2192" s="20"/>
      <c r="G2192" s="20"/>
      <c r="H2192" s="27"/>
    </row>
    <row r="2193" spans="3:8" x14ac:dyDescent="0.15">
      <c r="C2193" s="26"/>
      <c r="D2193" s="22"/>
      <c r="E2193" s="20"/>
      <c r="F2193" s="20"/>
      <c r="G2193" s="20"/>
      <c r="H2193" s="27"/>
    </row>
    <row r="2194" spans="3:8" x14ac:dyDescent="0.15">
      <c r="C2194" s="26"/>
      <c r="D2194" s="22"/>
      <c r="E2194" s="20"/>
      <c r="F2194" s="20"/>
      <c r="G2194" s="20"/>
      <c r="H2194" s="27"/>
    </row>
    <row r="2195" spans="3:8" x14ac:dyDescent="0.15">
      <c r="C2195" s="26"/>
      <c r="D2195" s="22"/>
      <c r="E2195" s="20"/>
      <c r="F2195" s="20"/>
      <c r="G2195" s="20"/>
      <c r="H2195" s="27"/>
    </row>
    <row r="2196" spans="3:8" x14ac:dyDescent="0.15">
      <c r="C2196" s="26"/>
      <c r="D2196" s="22"/>
      <c r="E2196" s="20"/>
      <c r="F2196" s="20"/>
      <c r="G2196" s="20"/>
      <c r="H2196" s="27"/>
    </row>
    <row r="2197" spans="3:8" x14ac:dyDescent="0.15">
      <c r="C2197" s="26"/>
      <c r="D2197" s="22"/>
      <c r="E2197" s="20"/>
      <c r="F2197" s="20"/>
      <c r="G2197" s="20"/>
      <c r="H2197" s="27"/>
    </row>
    <row r="2198" spans="3:8" x14ac:dyDescent="0.15">
      <c r="C2198" s="26"/>
      <c r="D2198" s="22"/>
      <c r="E2198" s="20"/>
      <c r="F2198" s="20"/>
      <c r="G2198" s="20"/>
      <c r="H2198" s="27"/>
    </row>
    <row r="2199" spans="3:8" x14ac:dyDescent="0.15">
      <c r="C2199" s="26"/>
      <c r="D2199" s="22"/>
      <c r="E2199" s="20"/>
      <c r="F2199" s="20"/>
      <c r="G2199" s="20"/>
      <c r="H2199" s="27"/>
    </row>
    <row r="2200" spans="3:8" x14ac:dyDescent="0.15">
      <c r="C2200" s="26"/>
      <c r="D2200" s="22"/>
      <c r="E2200" s="20"/>
      <c r="F2200" s="20"/>
      <c r="G2200" s="20"/>
      <c r="H2200" s="27"/>
    </row>
    <row r="2201" spans="3:8" x14ac:dyDescent="0.15">
      <c r="C2201" s="26"/>
      <c r="D2201" s="22"/>
      <c r="E2201" s="20"/>
      <c r="F2201" s="20"/>
      <c r="G2201" s="20"/>
      <c r="H2201" s="27"/>
    </row>
    <row r="2202" spans="3:8" x14ac:dyDescent="0.15">
      <c r="C2202" s="26"/>
      <c r="D2202" s="22"/>
      <c r="E2202" s="20"/>
      <c r="F2202" s="20"/>
      <c r="G2202" s="20"/>
      <c r="H2202" s="27"/>
    </row>
    <row r="2203" spans="3:8" x14ac:dyDescent="0.15">
      <c r="C2203" s="26"/>
      <c r="D2203" s="22"/>
      <c r="E2203" s="20"/>
      <c r="F2203" s="20"/>
      <c r="G2203" s="20"/>
      <c r="H2203" s="27"/>
    </row>
    <row r="2204" spans="3:8" x14ac:dyDescent="0.15">
      <c r="C2204" s="26"/>
      <c r="D2204" s="22"/>
      <c r="E2204" s="20"/>
      <c r="F2204" s="20"/>
      <c r="G2204" s="20"/>
      <c r="H2204" s="27"/>
    </row>
    <row r="2205" spans="3:8" x14ac:dyDescent="0.15">
      <c r="C2205" s="26"/>
      <c r="D2205" s="22"/>
      <c r="E2205" s="20"/>
      <c r="F2205" s="20"/>
      <c r="G2205" s="20"/>
      <c r="H2205" s="27"/>
    </row>
    <row r="2206" spans="3:8" x14ac:dyDescent="0.15">
      <c r="C2206" s="26"/>
      <c r="D2206" s="22"/>
      <c r="E2206" s="20"/>
      <c r="F2206" s="20"/>
      <c r="G2206" s="20"/>
      <c r="H2206" s="27"/>
    </row>
    <row r="2207" spans="3:8" x14ac:dyDescent="0.15">
      <c r="C2207" s="26"/>
      <c r="D2207" s="22"/>
      <c r="E2207" s="20"/>
      <c r="F2207" s="20"/>
      <c r="G2207" s="20"/>
      <c r="H2207" s="27"/>
    </row>
    <row r="2208" spans="3:8" x14ac:dyDescent="0.15">
      <c r="C2208" s="26"/>
      <c r="D2208" s="22"/>
      <c r="E2208" s="20"/>
      <c r="F2208" s="20"/>
      <c r="G2208" s="20"/>
      <c r="H2208" s="27"/>
    </row>
    <row r="2209" spans="3:8" x14ac:dyDescent="0.15">
      <c r="C2209" s="26"/>
      <c r="D2209" s="22"/>
      <c r="E2209" s="20"/>
      <c r="F2209" s="20"/>
      <c r="G2209" s="20"/>
      <c r="H2209" s="27"/>
    </row>
    <row r="2210" spans="3:8" x14ac:dyDescent="0.15">
      <c r="C2210" s="26"/>
      <c r="D2210" s="22"/>
      <c r="E2210" s="20"/>
      <c r="F2210" s="20"/>
      <c r="G2210" s="20"/>
      <c r="H2210" s="27"/>
    </row>
    <row r="2211" spans="3:8" x14ac:dyDescent="0.15">
      <c r="C2211" s="26"/>
      <c r="D2211" s="22"/>
      <c r="E2211" s="20"/>
      <c r="F2211" s="20"/>
      <c r="G2211" s="20"/>
      <c r="H2211" s="27"/>
    </row>
    <row r="2212" spans="3:8" x14ac:dyDescent="0.15">
      <c r="C2212" s="26"/>
      <c r="D2212" s="22"/>
      <c r="E2212" s="20"/>
      <c r="F2212" s="20"/>
      <c r="G2212" s="20"/>
      <c r="H2212" s="27"/>
    </row>
    <row r="2213" spans="3:8" x14ac:dyDescent="0.15">
      <c r="C2213" s="26"/>
      <c r="D2213" s="22"/>
      <c r="E2213" s="20"/>
      <c r="F2213" s="20"/>
      <c r="G2213" s="20"/>
      <c r="H2213" s="27"/>
    </row>
    <row r="2214" spans="3:8" x14ac:dyDescent="0.15">
      <c r="C2214" s="26"/>
      <c r="D2214" s="22"/>
      <c r="E2214" s="20"/>
      <c r="F2214" s="20"/>
      <c r="G2214" s="20"/>
      <c r="H2214" s="27"/>
    </row>
    <row r="2215" spans="3:8" x14ac:dyDescent="0.15">
      <c r="C2215" s="26"/>
      <c r="D2215" s="22"/>
      <c r="E2215" s="20"/>
      <c r="F2215" s="20"/>
      <c r="G2215" s="20"/>
      <c r="H2215" s="27"/>
    </row>
    <row r="2216" spans="3:8" x14ac:dyDescent="0.15">
      <c r="C2216" s="26"/>
      <c r="D2216" s="22"/>
      <c r="E2216" s="20"/>
      <c r="F2216" s="20"/>
      <c r="G2216" s="20"/>
      <c r="H2216" s="27"/>
    </row>
    <row r="2217" spans="3:8" x14ac:dyDescent="0.15">
      <c r="C2217" s="26"/>
      <c r="D2217" s="22"/>
      <c r="E2217" s="20"/>
      <c r="F2217" s="20"/>
      <c r="G2217" s="20"/>
      <c r="H2217" s="27"/>
    </row>
    <row r="2218" spans="3:8" x14ac:dyDescent="0.15">
      <c r="C2218" s="26"/>
      <c r="D2218" s="22"/>
      <c r="E2218" s="20"/>
      <c r="F2218" s="20"/>
      <c r="G2218" s="20"/>
      <c r="H2218" s="27"/>
    </row>
    <row r="2219" spans="3:8" x14ac:dyDescent="0.15">
      <c r="C2219" s="26"/>
      <c r="D2219" s="22"/>
      <c r="E2219" s="20"/>
      <c r="F2219" s="20"/>
      <c r="G2219" s="20"/>
      <c r="H2219" s="27"/>
    </row>
    <row r="2220" spans="3:8" x14ac:dyDescent="0.15">
      <c r="C2220" s="26"/>
      <c r="D2220" s="22"/>
      <c r="E2220" s="20"/>
      <c r="F2220" s="20"/>
      <c r="G2220" s="20"/>
      <c r="H2220" s="27"/>
    </row>
    <row r="2221" spans="3:8" x14ac:dyDescent="0.15">
      <c r="C2221" s="26"/>
      <c r="D2221" s="22"/>
      <c r="E2221" s="20"/>
      <c r="F2221" s="20"/>
      <c r="G2221" s="20"/>
      <c r="H2221" s="27"/>
    </row>
    <row r="2222" spans="3:8" x14ac:dyDescent="0.15">
      <c r="C2222" s="26"/>
      <c r="D2222" s="22"/>
      <c r="E2222" s="20"/>
      <c r="F2222" s="20"/>
      <c r="G2222" s="20"/>
      <c r="H2222" s="27"/>
    </row>
    <row r="2223" spans="3:8" x14ac:dyDescent="0.15">
      <c r="C2223" s="26"/>
      <c r="D2223" s="22"/>
      <c r="E2223" s="20"/>
      <c r="F2223" s="20"/>
      <c r="G2223" s="20"/>
      <c r="H2223" s="27"/>
    </row>
    <row r="2224" spans="3:8" x14ac:dyDescent="0.15">
      <c r="C2224" s="26"/>
      <c r="D2224" s="22"/>
      <c r="E2224" s="20"/>
      <c r="F2224" s="20"/>
      <c r="G2224" s="20"/>
      <c r="H2224" s="27"/>
    </row>
    <row r="2225" spans="3:8" x14ac:dyDescent="0.15">
      <c r="C2225" s="26"/>
      <c r="D2225" s="22"/>
      <c r="E2225" s="20"/>
      <c r="F2225" s="20"/>
      <c r="G2225" s="20"/>
      <c r="H2225" s="27"/>
    </row>
    <row r="2226" spans="3:8" x14ac:dyDescent="0.15">
      <c r="C2226" s="26"/>
      <c r="D2226" s="22"/>
      <c r="E2226" s="20"/>
      <c r="F2226" s="20"/>
      <c r="G2226" s="20"/>
      <c r="H2226" s="27"/>
    </row>
    <row r="2227" spans="3:8" x14ac:dyDescent="0.15">
      <c r="C2227" s="26"/>
      <c r="D2227" s="22"/>
      <c r="E2227" s="20"/>
      <c r="F2227" s="20"/>
      <c r="G2227" s="20"/>
      <c r="H2227" s="27"/>
    </row>
    <row r="2228" spans="3:8" x14ac:dyDescent="0.15">
      <c r="C2228" s="26"/>
      <c r="D2228" s="22"/>
      <c r="E2228" s="20"/>
      <c r="F2228" s="20"/>
      <c r="G2228" s="20"/>
      <c r="H2228" s="27"/>
    </row>
    <row r="2229" spans="3:8" x14ac:dyDescent="0.15">
      <c r="C2229" s="26"/>
      <c r="D2229" s="22"/>
      <c r="E2229" s="20"/>
      <c r="F2229" s="20"/>
      <c r="G2229" s="20"/>
      <c r="H2229" s="27"/>
    </row>
    <row r="2230" spans="3:8" x14ac:dyDescent="0.15">
      <c r="C2230" s="26"/>
      <c r="D2230" s="22"/>
      <c r="E2230" s="20"/>
      <c r="F2230" s="20"/>
      <c r="G2230" s="20"/>
      <c r="H2230" s="27"/>
    </row>
    <row r="2231" spans="3:8" x14ac:dyDescent="0.15">
      <c r="C2231" s="26"/>
      <c r="D2231" s="22"/>
      <c r="E2231" s="20"/>
      <c r="F2231" s="20"/>
      <c r="G2231" s="20"/>
      <c r="H2231" s="27"/>
    </row>
    <row r="2232" spans="3:8" x14ac:dyDescent="0.15">
      <c r="C2232" s="26"/>
      <c r="D2232" s="22"/>
      <c r="E2232" s="20"/>
      <c r="F2232" s="20"/>
      <c r="G2232" s="20"/>
      <c r="H2232" s="27"/>
    </row>
    <row r="2233" spans="3:8" x14ac:dyDescent="0.15">
      <c r="C2233" s="26"/>
      <c r="D2233" s="22"/>
      <c r="E2233" s="20"/>
      <c r="F2233" s="20"/>
      <c r="G2233" s="20"/>
      <c r="H2233" s="27"/>
    </row>
    <row r="2234" spans="3:8" x14ac:dyDescent="0.15">
      <c r="C2234" s="26"/>
      <c r="D2234" s="22"/>
      <c r="E2234" s="20"/>
      <c r="F2234" s="20"/>
      <c r="G2234" s="20"/>
      <c r="H2234" s="27"/>
    </row>
    <row r="2235" spans="3:8" x14ac:dyDescent="0.15">
      <c r="C2235" s="26"/>
      <c r="D2235" s="22"/>
      <c r="E2235" s="20"/>
      <c r="F2235" s="20"/>
      <c r="G2235" s="20"/>
      <c r="H2235" s="27"/>
    </row>
    <row r="2236" spans="3:8" x14ac:dyDescent="0.15">
      <c r="C2236" s="26"/>
      <c r="D2236" s="22"/>
      <c r="E2236" s="20"/>
      <c r="F2236" s="20"/>
      <c r="G2236" s="20"/>
      <c r="H2236" s="27"/>
    </row>
    <row r="2237" spans="3:8" x14ac:dyDescent="0.15">
      <c r="C2237" s="26"/>
      <c r="D2237" s="22"/>
      <c r="E2237" s="20"/>
      <c r="F2237" s="20"/>
      <c r="G2237" s="20"/>
      <c r="H2237" s="27"/>
    </row>
    <row r="2238" spans="3:8" x14ac:dyDescent="0.15">
      <c r="C2238" s="26"/>
      <c r="D2238" s="22"/>
      <c r="E2238" s="20"/>
      <c r="F2238" s="20"/>
      <c r="G2238" s="20"/>
      <c r="H2238" s="27"/>
    </row>
    <row r="2239" spans="3:8" x14ac:dyDescent="0.15">
      <c r="C2239" s="26"/>
      <c r="D2239" s="22"/>
      <c r="E2239" s="20"/>
      <c r="F2239" s="20"/>
      <c r="G2239" s="20"/>
      <c r="H2239" s="27"/>
    </row>
    <row r="2240" spans="3:8" x14ac:dyDescent="0.15">
      <c r="C2240" s="26"/>
      <c r="D2240" s="22"/>
      <c r="E2240" s="20"/>
      <c r="F2240" s="20"/>
      <c r="G2240" s="20"/>
      <c r="H2240" s="27"/>
    </row>
    <row r="2241" spans="3:8" x14ac:dyDescent="0.15">
      <c r="C2241" s="26"/>
      <c r="D2241" s="22"/>
      <c r="E2241" s="20"/>
      <c r="F2241" s="20"/>
      <c r="G2241" s="20"/>
      <c r="H2241" s="27"/>
    </row>
    <row r="2242" spans="3:8" x14ac:dyDescent="0.15">
      <c r="C2242" s="26"/>
      <c r="D2242" s="22"/>
      <c r="E2242" s="20"/>
      <c r="F2242" s="20"/>
      <c r="G2242" s="20"/>
      <c r="H2242" s="27"/>
    </row>
    <row r="2243" spans="3:8" x14ac:dyDescent="0.15">
      <c r="C2243" s="26"/>
      <c r="D2243" s="22"/>
      <c r="E2243" s="20"/>
      <c r="F2243" s="20"/>
      <c r="G2243" s="20"/>
      <c r="H2243" s="27"/>
    </row>
    <row r="2244" spans="3:8" x14ac:dyDescent="0.15">
      <c r="C2244" s="26"/>
      <c r="D2244" s="22"/>
      <c r="E2244" s="20"/>
      <c r="F2244" s="20"/>
      <c r="G2244" s="20"/>
      <c r="H2244" s="27"/>
    </row>
    <row r="2245" spans="3:8" x14ac:dyDescent="0.15">
      <c r="C2245" s="26"/>
      <c r="D2245" s="22"/>
      <c r="E2245" s="20"/>
      <c r="F2245" s="20"/>
      <c r="G2245" s="20"/>
      <c r="H2245" s="27"/>
    </row>
    <row r="2246" spans="3:8" x14ac:dyDescent="0.15">
      <c r="C2246" s="26"/>
      <c r="D2246" s="22"/>
      <c r="E2246" s="20"/>
      <c r="F2246" s="20"/>
      <c r="G2246" s="20"/>
      <c r="H2246" s="27"/>
    </row>
    <row r="2247" spans="3:8" x14ac:dyDescent="0.15">
      <c r="C2247" s="26"/>
      <c r="D2247" s="22"/>
      <c r="E2247" s="20"/>
      <c r="F2247" s="20"/>
      <c r="G2247" s="20"/>
      <c r="H2247" s="27"/>
    </row>
    <row r="2248" spans="3:8" x14ac:dyDescent="0.15">
      <c r="C2248" s="26"/>
      <c r="D2248" s="22"/>
      <c r="E2248" s="20"/>
      <c r="F2248" s="20"/>
      <c r="G2248" s="20"/>
      <c r="H2248" s="27"/>
    </row>
    <row r="2249" spans="3:8" x14ac:dyDescent="0.15">
      <c r="C2249" s="26"/>
      <c r="D2249" s="22"/>
      <c r="E2249" s="20"/>
      <c r="F2249" s="20"/>
      <c r="G2249" s="20"/>
      <c r="H2249" s="27"/>
    </row>
    <row r="2250" spans="3:8" x14ac:dyDescent="0.15">
      <c r="C2250" s="26"/>
      <c r="D2250" s="22"/>
      <c r="E2250" s="20"/>
      <c r="F2250" s="20"/>
      <c r="G2250" s="20"/>
      <c r="H2250" s="27"/>
    </row>
    <row r="2251" spans="3:8" x14ac:dyDescent="0.15">
      <c r="C2251" s="26"/>
      <c r="D2251" s="22"/>
      <c r="E2251" s="20"/>
      <c r="F2251" s="20"/>
      <c r="G2251" s="20"/>
      <c r="H2251" s="27"/>
    </row>
    <row r="2252" spans="3:8" x14ac:dyDescent="0.15">
      <c r="C2252" s="26"/>
      <c r="D2252" s="22"/>
      <c r="E2252" s="20"/>
      <c r="F2252" s="20"/>
      <c r="G2252" s="20"/>
      <c r="H2252" s="27"/>
    </row>
    <row r="2253" spans="3:8" x14ac:dyDescent="0.15">
      <c r="C2253" s="26"/>
      <c r="D2253" s="22"/>
      <c r="E2253" s="20"/>
      <c r="F2253" s="20"/>
      <c r="G2253" s="20"/>
      <c r="H2253" s="27"/>
    </row>
    <row r="2254" spans="3:8" x14ac:dyDescent="0.15">
      <c r="C2254" s="26"/>
      <c r="D2254" s="22"/>
      <c r="E2254" s="20"/>
      <c r="F2254" s="20"/>
      <c r="G2254" s="20"/>
      <c r="H2254" s="27"/>
    </row>
    <row r="2255" spans="3:8" x14ac:dyDescent="0.15">
      <c r="C2255" s="26"/>
      <c r="D2255" s="22"/>
      <c r="E2255" s="20"/>
      <c r="F2255" s="20"/>
      <c r="G2255" s="20"/>
      <c r="H2255" s="27"/>
    </row>
    <row r="2256" spans="3:8" x14ac:dyDescent="0.15">
      <c r="C2256" s="26"/>
      <c r="D2256" s="22"/>
      <c r="E2256" s="20"/>
      <c r="F2256" s="20"/>
      <c r="G2256" s="20"/>
      <c r="H2256" s="27"/>
    </row>
    <row r="2257" spans="3:8" x14ac:dyDescent="0.15">
      <c r="C2257" s="26"/>
      <c r="D2257" s="22"/>
      <c r="E2257" s="20"/>
      <c r="F2257" s="20"/>
      <c r="G2257" s="20"/>
      <c r="H2257" s="27"/>
    </row>
    <row r="2258" spans="3:8" x14ac:dyDescent="0.15">
      <c r="C2258" s="26"/>
      <c r="D2258" s="22"/>
      <c r="E2258" s="20"/>
      <c r="F2258" s="20"/>
      <c r="G2258" s="20"/>
      <c r="H2258" s="27"/>
    </row>
    <row r="2259" spans="3:8" x14ac:dyDescent="0.15">
      <c r="C2259" s="26"/>
      <c r="D2259" s="22"/>
      <c r="E2259" s="20"/>
      <c r="F2259" s="20"/>
      <c r="G2259" s="20"/>
      <c r="H2259" s="27"/>
    </row>
    <row r="2260" spans="3:8" x14ac:dyDescent="0.15">
      <c r="C2260" s="26"/>
      <c r="D2260" s="22"/>
      <c r="E2260" s="20"/>
      <c r="F2260" s="20"/>
      <c r="G2260" s="20"/>
      <c r="H2260" s="27"/>
    </row>
    <row r="2261" spans="3:8" x14ac:dyDescent="0.15">
      <c r="C2261" s="26"/>
      <c r="D2261" s="22"/>
      <c r="E2261" s="20"/>
      <c r="F2261" s="20"/>
      <c r="G2261" s="20"/>
      <c r="H2261" s="27"/>
    </row>
    <row r="2262" spans="3:8" x14ac:dyDescent="0.15">
      <c r="C2262" s="26"/>
      <c r="D2262" s="22"/>
      <c r="E2262" s="20"/>
      <c r="F2262" s="20"/>
      <c r="G2262" s="20"/>
      <c r="H2262" s="27"/>
    </row>
    <row r="2263" spans="3:8" x14ac:dyDescent="0.15">
      <c r="C2263" s="26"/>
      <c r="D2263" s="22"/>
      <c r="E2263" s="20"/>
      <c r="F2263" s="20"/>
      <c r="G2263" s="20"/>
      <c r="H2263" s="27"/>
    </row>
    <row r="2264" spans="3:8" x14ac:dyDescent="0.15">
      <c r="C2264" s="26"/>
      <c r="D2264" s="22"/>
      <c r="E2264" s="20"/>
      <c r="F2264" s="20"/>
      <c r="G2264" s="20"/>
      <c r="H2264" s="27"/>
    </row>
    <row r="2265" spans="3:8" x14ac:dyDescent="0.15">
      <c r="C2265" s="26"/>
      <c r="D2265" s="22"/>
      <c r="E2265" s="20"/>
      <c r="F2265" s="20"/>
      <c r="G2265" s="20"/>
      <c r="H2265" s="27"/>
    </row>
    <row r="2266" spans="3:8" x14ac:dyDescent="0.15">
      <c r="C2266" s="26"/>
      <c r="D2266" s="22"/>
      <c r="E2266" s="20"/>
      <c r="F2266" s="20"/>
      <c r="G2266" s="20"/>
      <c r="H2266" s="27"/>
    </row>
    <row r="2267" spans="3:8" x14ac:dyDescent="0.15">
      <c r="C2267" s="26"/>
      <c r="D2267" s="22"/>
      <c r="E2267" s="20"/>
      <c r="F2267" s="20"/>
      <c r="G2267" s="20"/>
      <c r="H2267" s="27"/>
    </row>
    <row r="2268" spans="3:8" x14ac:dyDescent="0.15">
      <c r="C2268" s="26"/>
      <c r="D2268" s="22"/>
      <c r="E2268" s="20"/>
      <c r="F2268" s="20"/>
      <c r="G2268" s="20"/>
      <c r="H2268" s="27"/>
    </row>
    <row r="2269" spans="3:8" x14ac:dyDescent="0.15">
      <c r="C2269" s="26"/>
      <c r="D2269" s="22"/>
      <c r="E2269" s="20"/>
      <c r="F2269" s="20"/>
      <c r="G2269" s="20"/>
      <c r="H2269" s="27"/>
    </row>
    <row r="2270" spans="3:8" x14ac:dyDescent="0.15">
      <c r="C2270" s="26"/>
      <c r="D2270" s="22"/>
      <c r="E2270" s="20"/>
      <c r="F2270" s="20"/>
      <c r="G2270" s="20"/>
      <c r="H2270" s="27"/>
    </row>
    <row r="2271" spans="3:8" x14ac:dyDescent="0.15">
      <c r="C2271" s="26"/>
      <c r="D2271" s="22"/>
      <c r="E2271" s="20"/>
      <c r="F2271" s="20"/>
      <c r="G2271" s="20"/>
      <c r="H2271" s="27"/>
    </row>
    <row r="2272" spans="3:8" x14ac:dyDescent="0.15">
      <c r="C2272" s="26"/>
      <c r="D2272" s="22"/>
      <c r="E2272" s="20"/>
      <c r="F2272" s="20"/>
      <c r="G2272" s="20"/>
      <c r="H2272" s="27"/>
    </row>
    <row r="2273" spans="3:8" x14ac:dyDescent="0.15">
      <c r="C2273" s="26"/>
      <c r="D2273" s="22"/>
      <c r="E2273" s="20"/>
      <c r="F2273" s="20"/>
      <c r="G2273" s="20"/>
      <c r="H2273" s="27"/>
    </row>
    <row r="2274" spans="3:8" x14ac:dyDescent="0.15">
      <c r="C2274" s="26"/>
      <c r="D2274" s="22"/>
      <c r="E2274" s="20"/>
      <c r="F2274" s="20"/>
      <c r="G2274" s="20"/>
      <c r="H2274" s="27"/>
    </row>
    <row r="2275" spans="3:8" x14ac:dyDescent="0.15">
      <c r="C2275" s="26"/>
      <c r="D2275" s="22"/>
      <c r="E2275" s="20"/>
      <c r="F2275" s="20"/>
      <c r="G2275" s="20"/>
      <c r="H2275" s="27"/>
    </row>
    <row r="2276" spans="3:8" x14ac:dyDescent="0.15">
      <c r="C2276" s="26"/>
      <c r="D2276" s="22"/>
      <c r="E2276" s="20"/>
      <c r="F2276" s="20"/>
      <c r="G2276" s="20"/>
      <c r="H2276" s="27"/>
    </row>
    <row r="2277" spans="3:8" x14ac:dyDescent="0.15">
      <c r="C2277" s="26"/>
      <c r="D2277" s="22"/>
      <c r="E2277" s="20"/>
      <c r="F2277" s="20"/>
      <c r="G2277" s="20"/>
      <c r="H2277" s="27"/>
    </row>
    <row r="2278" spans="3:8" x14ac:dyDescent="0.15">
      <c r="C2278" s="26"/>
      <c r="D2278" s="22"/>
      <c r="E2278" s="20"/>
      <c r="F2278" s="20"/>
      <c r="G2278" s="20"/>
      <c r="H2278" s="27"/>
    </row>
    <row r="2279" spans="3:8" x14ac:dyDescent="0.15">
      <c r="C2279" s="26"/>
      <c r="D2279" s="22"/>
      <c r="E2279" s="20"/>
      <c r="F2279" s="20"/>
      <c r="G2279" s="20"/>
      <c r="H2279" s="27"/>
    </row>
    <row r="2280" spans="3:8" x14ac:dyDescent="0.15">
      <c r="C2280" s="26"/>
      <c r="D2280" s="22"/>
      <c r="E2280" s="20"/>
      <c r="F2280" s="20"/>
      <c r="G2280" s="20"/>
      <c r="H2280" s="27"/>
    </row>
    <row r="2281" spans="3:8" x14ac:dyDescent="0.15">
      <c r="C2281" s="26"/>
      <c r="D2281" s="22"/>
      <c r="E2281" s="20"/>
      <c r="F2281" s="20"/>
      <c r="G2281" s="20"/>
      <c r="H2281" s="27"/>
    </row>
    <row r="2282" spans="3:8" x14ac:dyDescent="0.15">
      <c r="C2282" s="26"/>
      <c r="D2282" s="22"/>
      <c r="E2282" s="20"/>
      <c r="F2282" s="20"/>
      <c r="G2282" s="20"/>
      <c r="H2282" s="27"/>
    </row>
    <row r="2283" spans="3:8" x14ac:dyDescent="0.15">
      <c r="C2283" s="26"/>
      <c r="D2283" s="22"/>
      <c r="E2283" s="20"/>
      <c r="F2283" s="20"/>
      <c r="G2283" s="20"/>
      <c r="H2283" s="27"/>
    </row>
    <row r="2284" spans="3:8" x14ac:dyDescent="0.15">
      <c r="C2284" s="26"/>
      <c r="D2284" s="22"/>
      <c r="E2284" s="20"/>
      <c r="F2284" s="20"/>
      <c r="G2284" s="20"/>
      <c r="H2284" s="27"/>
    </row>
    <row r="2285" spans="3:8" x14ac:dyDescent="0.15">
      <c r="C2285" s="26"/>
      <c r="D2285" s="22"/>
      <c r="E2285" s="20"/>
      <c r="F2285" s="20"/>
      <c r="G2285" s="20"/>
      <c r="H2285" s="27"/>
    </row>
    <row r="2286" spans="3:8" x14ac:dyDescent="0.15">
      <c r="C2286" s="26"/>
      <c r="D2286" s="22"/>
      <c r="E2286" s="20"/>
      <c r="F2286" s="20"/>
      <c r="G2286" s="20"/>
      <c r="H2286" s="27"/>
    </row>
    <row r="2287" spans="3:8" x14ac:dyDescent="0.15">
      <c r="C2287" s="26"/>
      <c r="D2287" s="22"/>
      <c r="E2287" s="20"/>
      <c r="F2287" s="20"/>
      <c r="G2287" s="20"/>
      <c r="H2287" s="27"/>
    </row>
    <row r="2288" spans="3:8" x14ac:dyDescent="0.15">
      <c r="C2288" s="26"/>
      <c r="D2288" s="22"/>
      <c r="E2288" s="20"/>
      <c r="F2288" s="20"/>
      <c r="G2288" s="20"/>
      <c r="H2288" s="27"/>
    </row>
    <row r="2289" spans="3:8" x14ac:dyDescent="0.15">
      <c r="C2289" s="26"/>
      <c r="D2289" s="22"/>
      <c r="E2289" s="20"/>
      <c r="F2289" s="20"/>
      <c r="G2289" s="20"/>
      <c r="H2289" s="27"/>
    </row>
    <row r="2290" spans="3:8" x14ac:dyDescent="0.15">
      <c r="C2290" s="26"/>
      <c r="D2290" s="22"/>
      <c r="E2290" s="20"/>
      <c r="F2290" s="20"/>
      <c r="G2290" s="20"/>
      <c r="H2290" s="27"/>
    </row>
    <row r="2291" spans="3:8" x14ac:dyDescent="0.15">
      <c r="C2291" s="26"/>
      <c r="D2291" s="22"/>
      <c r="E2291" s="20"/>
      <c r="F2291" s="20"/>
      <c r="G2291" s="20"/>
      <c r="H2291" s="27"/>
    </row>
    <row r="2292" spans="3:8" x14ac:dyDescent="0.15">
      <c r="C2292" s="26"/>
      <c r="D2292" s="22"/>
      <c r="E2292" s="20"/>
      <c r="F2292" s="20"/>
      <c r="G2292" s="20"/>
      <c r="H2292" s="27"/>
    </row>
    <row r="2293" spans="3:8" x14ac:dyDescent="0.15">
      <c r="C2293" s="26"/>
      <c r="D2293" s="22"/>
      <c r="E2293" s="20"/>
      <c r="F2293" s="20"/>
      <c r="G2293" s="20"/>
      <c r="H2293" s="27"/>
    </row>
    <row r="2294" spans="3:8" x14ac:dyDescent="0.15">
      <c r="C2294" s="26"/>
      <c r="D2294" s="22"/>
      <c r="E2294" s="20"/>
      <c r="F2294" s="20"/>
      <c r="G2294" s="20"/>
      <c r="H2294" s="27"/>
    </row>
    <row r="2295" spans="3:8" x14ac:dyDescent="0.15">
      <c r="C2295" s="26"/>
      <c r="D2295" s="22"/>
      <c r="E2295" s="20"/>
      <c r="F2295" s="20"/>
      <c r="G2295" s="20"/>
      <c r="H2295" s="27"/>
    </row>
    <row r="2296" spans="3:8" x14ac:dyDescent="0.15">
      <c r="C2296" s="26"/>
      <c r="D2296" s="22"/>
      <c r="E2296" s="20"/>
      <c r="F2296" s="20"/>
      <c r="G2296" s="20"/>
      <c r="H2296" s="27"/>
    </row>
    <row r="2297" spans="3:8" x14ac:dyDescent="0.15">
      <c r="C2297" s="26"/>
      <c r="D2297" s="22"/>
      <c r="E2297" s="20"/>
      <c r="F2297" s="20"/>
      <c r="G2297" s="20"/>
      <c r="H2297" s="27"/>
    </row>
    <row r="2298" spans="3:8" x14ac:dyDescent="0.15">
      <c r="C2298" s="26"/>
      <c r="D2298" s="22"/>
      <c r="E2298" s="20"/>
      <c r="F2298" s="20"/>
      <c r="G2298" s="20"/>
      <c r="H2298" s="27"/>
    </row>
    <row r="2299" spans="3:8" x14ac:dyDescent="0.15">
      <c r="C2299" s="26"/>
      <c r="D2299" s="22"/>
      <c r="E2299" s="20"/>
      <c r="F2299" s="20"/>
      <c r="G2299" s="20"/>
      <c r="H2299" s="27"/>
    </row>
    <row r="2300" spans="3:8" x14ac:dyDescent="0.15">
      <c r="C2300" s="26"/>
      <c r="D2300" s="22"/>
      <c r="E2300" s="20"/>
      <c r="F2300" s="20"/>
      <c r="G2300" s="20"/>
      <c r="H2300" s="27"/>
    </row>
    <row r="2301" spans="3:8" x14ac:dyDescent="0.15">
      <c r="C2301" s="26"/>
      <c r="D2301" s="22"/>
      <c r="E2301" s="20"/>
      <c r="F2301" s="20"/>
      <c r="G2301" s="20"/>
      <c r="H2301" s="27"/>
    </row>
    <row r="2302" spans="3:8" x14ac:dyDescent="0.15">
      <c r="C2302" s="26"/>
      <c r="D2302" s="22"/>
      <c r="E2302" s="20"/>
      <c r="F2302" s="20"/>
      <c r="G2302" s="20"/>
      <c r="H2302" s="27"/>
    </row>
    <row r="2303" spans="3:8" x14ac:dyDescent="0.15">
      <c r="C2303" s="26"/>
      <c r="D2303" s="22"/>
      <c r="E2303" s="20"/>
      <c r="F2303" s="20"/>
      <c r="G2303" s="20"/>
      <c r="H2303" s="27"/>
    </row>
    <row r="2304" spans="3:8" x14ac:dyDescent="0.15">
      <c r="C2304" s="26"/>
      <c r="D2304" s="22"/>
      <c r="E2304" s="20"/>
      <c r="F2304" s="20"/>
      <c r="G2304" s="20"/>
      <c r="H2304" s="27"/>
    </row>
    <row r="2305" spans="3:8" x14ac:dyDescent="0.15">
      <c r="C2305" s="26"/>
      <c r="D2305" s="22"/>
      <c r="E2305" s="20"/>
      <c r="F2305" s="20"/>
      <c r="G2305" s="20"/>
      <c r="H2305" s="27"/>
    </row>
    <row r="2306" spans="3:8" x14ac:dyDescent="0.15">
      <c r="C2306" s="26"/>
      <c r="D2306" s="22"/>
      <c r="E2306" s="20"/>
      <c r="F2306" s="20"/>
      <c r="G2306" s="20"/>
      <c r="H2306" s="27"/>
    </row>
    <row r="2307" spans="3:8" x14ac:dyDescent="0.15">
      <c r="C2307" s="26"/>
      <c r="D2307" s="22"/>
      <c r="E2307" s="20"/>
      <c r="F2307" s="20"/>
      <c r="G2307" s="20"/>
      <c r="H2307" s="27"/>
    </row>
    <row r="2308" spans="3:8" x14ac:dyDescent="0.15">
      <c r="C2308" s="26"/>
      <c r="D2308" s="22"/>
      <c r="E2308" s="20"/>
      <c r="F2308" s="20"/>
      <c r="G2308" s="20"/>
      <c r="H2308" s="27"/>
    </row>
    <row r="2309" spans="3:8" x14ac:dyDescent="0.15">
      <c r="C2309" s="26"/>
      <c r="D2309" s="22"/>
      <c r="E2309" s="20"/>
      <c r="F2309" s="20"/>
      <c r="G2309" s="20"/>
      <c r="H2309" s="27"/>
    </row>
    <row r="2310" spans="3:8" x14ac:dyDescent="0.15">
      <c r="C2310" s="26"/>
      <c r="D2310" s="22"/>
      <c r="E2310" s="20"/>
      <c r="F2310" s="20"/>
      <c r="G2310" s="20"/>
      <c r="H2310" s="27"/>
    </row>
    <row r="2311" spans="3:8" x14ac:dyDescent="0.15">
      <c r="C2311" s="26"/>
      <c r="D2311" s="22"/>
      <c r="E2311" s="20"/>
      <c r="F2311" s="20"/>
      <c r="G2311" s="20"/>
      <c r="H2311" s="27"/>
    </row>
    <row r="2312" spans="3:8" x14ac:dyDescent="0.15">
      <c r="C2312" s="26"/>
      <c r="D2312" s="22"/>
      <c r="E2312" s="20"/>
      <c r="F2312" s="20"/>
      <c r="G2312" s="20"/>
      <c r="H2312" s="27"/>
    </row>
    <row r="2313" spans="3:8" x14ac:dyDescent="0.15">
      <c r="C2313" s="26"/>
      <c r="D2313" s="22"/>
      <c r="E2313" s="20"/>
      <c r="F2313" s="20"/>
      <c r="G2313" s="20"/>
      <c r="H2313" s="27"/>
    </row>
    <row r="2314" spans="3:8" x14ac:dyDescent="0.15">
      <c r="C2314" s="26"/>
      <c r="D2314" s="22"/>
      <c r="E2314" s="20"/>
      <c r="F2314" s="20"/>
      <c r="G2314" s="20"/>
      <c r="H2314" s="27"/>
    </row>
    <row r="2315" spans="3:8" x14ac:dyDescent="0.15">
      <c r="C2315" s="26"/>
      <c r="D2315" s="22"/>
      <c r="E2315" s="20"/>
      <c r="F2315" s="20"/>
      <c r="G2315" s="20"/>
      <c r="H2315" s="27"/>
    </row>
    <row r="2316" spans="3:8" x14ac:dyDescent="0.15">
      <c r="C2316" s="26"/>
      <c r="D2316" s="22"/>
      <c r="E2316" s="20"/>
      <c r="F2316" s="20"/>
      <c r="G2316" s="20"/>
      <c r="H2316" s="27"/>
    </row>
    <row r="2317" spans="3:8" x14ac:dyDescent="0.15">
      <c r="C2317" s="26"/>
      <c r="D2317" s="22"/>
      <c r="E2317" s="20"/>
      <c r="F2317" s="20"/>
      <c r="G2317" s="20"/>
      <c r="H2317" s="27"/>
    </row>
    <row r="2318" spans="3:8" x14ac:dyDescent="0.15">
      <c r="C2318" s="26"/>
      <c r="D2318" s="22"/>
      <c r="E2318" s="20"/>
      <c r="F2318" s="20"/>
      <c r="G2318" s="20"/>
      <c r="H2318" s="27"/>
    </row>
    <row r="2319" spans="3:8" x14ac:dyDescent="0.15">
      <c r="C2319" s="26"/>
      <c r="D2319" s="22"/>
      <c r="E2319" s="20"/>
      <c r="F2319" s="20"/>
      <c r="G2319" s="20"/>
      <c r="H2319" s="27"/>
    </row>
    <row r="2320" spans="3:8" x14ac:dyDescent="0.15">
      <c r="C2320" s="26"/>
      <c r="D2320" s="22"/>
      <c r="E2320" s="20"/>
      <c r="F2320" s="20"/>
      <c r="G2320" s="20"/>
      <c r="H2320" s="27"/>
    </row>
    <row r="2321" spans="3:8" x14ac:dyDescent="0.15">
      <c r="C2321" s="26"/>
      <c r="D2321" s="22"/>
      <c r="E2321" s="20"/>
      <c r="F2321" s="20"/>
      <c r="G2321" s="20"/>
      <c r="H2321" s="27"/>
    </row>
    <row r="2322" spans="3:8" x14ac:dyDescent="0.15">
      <c r="C2322" s="26"/>
      <c r="D2322" s="22"/>
      <c r="E2322" s="20"/>
      <c r="F2322" s="20"/>
      <c r="G2322" s="20"/>
      <c r="H2322" s="27"/>
    </row>
    <row r="2323" spans="3:8" x14ac:dyDescent="0.15">
      <c r="C2323" s="26"/>
      <c r="D2323" s="22"/>
      <c r="E2323" s="20"/>
      <c r="F2323" s="20"/>
      <c r="G2323" s="20"/>
      <c r="H2323" s="27"/>
    </row>
    <row r="2324" spans="3:8" x14ac:dyDescent="0.15">
      <c r="C2324" s="26"/>
      <c r="D2324" s="22"/>
      <c r="E2324" s="20"/>
      <c r="F2324" s="20"/>
      <c r="G2324" s="20"/>
      <c r="H2324" s="27"/>
    </row>
    <row r="2325" spans="3:8" x14ac:dyDescent="0.15">
      <c r="C2325" s="26"/>
      <c r="D2325" s="22"/>
      <c r="E2325" s="20"/>
      <c r="F2325" s="20"/>
      <c r="G2325" s="20"/>
      <c r="H2325" s="27"/>
    </row>
    <row r="2326" spans="3:8" x14ac:dyDescent="0.15">
      <c r="C2326" s="26"/>
      <c r="D2326" s="22"/>
      <c r="E2326" s="20"/>
      <c r="F2326" s="20"/>
      <c r="G2326" s="20"/>
      <c r="H2326" s="27"/>
    </row>
    <row r="2327" spans="3:8" x14ac:dyDescent="0.15">
      <c r="C2327" s="26"/>
      <c r="D2327" s="22"/>
      <c r="E2327" s="20"/>
      <c r="F2327" s="20"/>
      <c r="G2327" s="20"/>
      <c r="H2327" s="27"/>
    </row>
    <row r="2328" spans="3:8" x14ac:dyDescent="0.15">
      <c r="C2328" s="26"/>
      <c r="D2328" s="22"/>
      <c r="E2328" s="20"/>
      <c r="F2328" s="20"/>
      <c r="G2328" s="20"/>
      <c r="H2328" s="27"/>
    </row>
    <row r="2329" spans="3:8" x14ac:dyDescent="0.15">
      <c r="C2329" s="26"/>
      <c r="D2329" s="22"/>
      <c r="E2329" s="20"/>
      <c r="F2329" s="20"/>
      <c r="G2329" s="20"/>
      <c r="H2329" s="27"/>
    </row>
    <row r="2330" spans="3:8" x14ac:dyDescent="0.15">
      <c r="C2330" s="26"/>
      <c r="D2330" s="22"/>
      <c r="E2330" s="20"/>
      <c r="F2330" s="20"/>
      <c r="G2330" s="20"/>
      <c r="H2330" s="27"/>
    </row>
    <row r="2331" spans="3:8" x14ac:dyDescent="0.15">
      <c r="C2331" s="26"/>
      <c r="D2331" s="22"/>
      <c r="E2331" s="20"/>
      <c r="F2331" s="20"/>
      <c r="G2331" s="20"/>
      <c r="H2331" s="27"/>
    </row>
    <row r="2332" spans="3:8" x14ac:dyDescent="0.15">
      <c r="C2332" s="26"/>
      <c r="D2332" s="22"/>
      <c r="E2332" s="20"/>
      <c r="F2332" s="20"/>
      <c r="G2332" s="20"/>
      <c r="H2332" s="27"/>
    </row>
    <row r="2333" spans="3:8" x14ac:dyDescent="0.15">
      <c r="C2333" s="26"/>
      <c r="D2333" s="22"/>
      <c r="E2333" s="20"/>
      <c r="F2333" s="20"/>
      <c r="G2333" s="20"/>
      <c r="H2333" s="27"/>
    </row>
    <row r="2334" spans="3:8" x14ac:dyDescent="0.15">
      <c r="C2334" s="26"/>
      <c r="D2334" s="22"/>
      <c r="E2334" s="20"/>
      <c r="F2334" s="20"/>
      <c r="G2334" s="20"/>
      <c r="H2334" s="27"/>
    </row>
    <row r="2335" spans="3:8" x14ac:dyDescent="0.15">
      <c r="C2335" s="26"/>
      <c r="D2335" s="22"/>
      <c r="E2335" s="20"/>
      <c r="F2335" s="20"/>
      <c r="G2335" s="20"/>
      <c r="H2335" s="27"/>
    </row>
    <row r="2336" spans="3:8" x14ac:dyDescent="0.15">
      <c r="C2336" s="26"/>
      <c r="D2336" s="22"/>
      <c r="E2336" s="20"/>
      <c r="F2336" s="20"/>
      <c r="G2336" s="20"/>
      <c r="H2336" s="27"/>
    </row>
    <row r="2337" spans="3:8" x14ac:dyDescent="0.15">
      <c r="C2337" s="26"/>
      <c r="D2337" s="22"/>
      <c r="E2337" s="20"/>
      <c r="F2337" s="20"/>
      <c r="G2337" s="20"/>
      <c r="H2337" s="27"/>
    </row>
    <row r="2338" spans="3:8" x14ac:dyDescent="0.15">
      <c r="C2338" s="26"/>
      <c r="D2338" s="22"/>
      <c r="E2338" s="20"/>
      <c r="F2338" s="20"/>
      <c r="G2338" s="20"/>
      <c r="H2338" s="27"/>
    </row>
    <row r="2339" spans="3:8" x14ac:dyDescent="0.15">
      <c r="C2339" s="26"/>
      <c r="D2339" s="22"/>
      <c r="E2339" s="20"/>
      <c r="F2339" s="20"/>
      <c r="G2339" s="20"/>
      <c r="H2339" s="27"/>
    </row>
    <row r="2340" spans="3:8" x14ac:dyDescent="0.15">
      <c r="C2340" s="26"/>
      <c r="D2340" s="22"/>
      <c r="E2340" s="20"/>
      <c r="F2340" s="20"/>
      <c r="G2340" s="20"/>
      <c r="H2340" s="27"/>
    </row>
    <row r="2341" spans="3:8" x14ac:dyDescent="0.15">
      <c r="C2341" s="26"/>
      <c r="D2341" s="22"/>
      <c r="E2341" s="20"/>
      <c r="F2341" s="20"/>
      <c r="G2341" s="20"/>
      <c r="H2341" s="27"/>
    </row>
    <row r="2342" spans="3:8" x14ac:dyDescent="0.15">
      <c r="C2342" s="26"/>
      <c r="D2342" s="22"/>
      <c r="E2342" s="20"/>
      <c r="F2342" s="20"/>
      <c r="G2342" s="20"/>
      <c r="H2342" s="27"/>
    </row>
    <row r="2343" spans="3:8" x14ac:dyDescent="0.15">
      <c r="C2343" s="26"/>
      <c r="D2343" s="22"/>
      <c r="E2343" s="20"/>
      <c r="F2343" s="20"/>
      <c r="G2343" s="20"/>
      <c r="H2343" s="27"/>
    </row>
    <row r="2344" spans="3:8" x14ac:dyDescent="0.15">
      <c r="C2344" s="26"/>
      <c r="D2344" s="22"/>
      <c r="E2344" s="20"/>
      <c r="F2344" s="20"/>
      <c r="G2344" s="20"/>
      <c r="H2344" s="27"/>
    </row>
    <row r="2345" spans="3:8" x14ac:dyDescent="0.15">
      <c r="C2345" s="26"/>
      <c r="D2345" s="22"/>
      <c r="E2345" s="20"/>
      <c r="F2345" s="20"/>
      <c r="G2345" s="20"/>
      <c r="H2345" s="27"/>
    </row>
    <row r="2346" spans="3:8" x14ac:dyDescent="0.15">
      <c r="C2346" s="26"/>
      <c r="D2346" s="22"/>
      <c r="E2346" s="20"/>
      <c r="F2346" s="20"/>
      <c r="G2346" s="20"/>
      <c r="H2346" s="27"/>
    </row>
    <row r="2347" spans="3:8" x14ac:dyDescent="0.15">
      <c r="C2347" s="26"/>
      <c r="D2347" s="22"/>
      <c r="E2347" s="20"/>
      <c r="F2347" s="20"/>
      <c r="G2347" s="20"/>
      <c r="H2347" s="27"/>
    </row>
    <row r="2348" spans="3:8" x14ac:dyDescent="0.15">
      <c r="C2348" s="26"/>
      <c r="D2348" s="22"/>
      <c r="E2348" s="20"/>
      <c r="F2348" s="20"/>
      <c r="G2348" s="20"/>
      <c r="H2348" s="27"/>
    </row>
    <row r="2349" spans="3:8" x14ac:dyDescent="0.15">
      <c r="C2349" s="26"/>
      <c r="D2349" s="22"/>
      <c r="E2349" s="20"/>
      <c r="F2349" s="20"/>
      <c r="G2349" s="20"/>
      <c r="H2349" s="27"/>
    </row>
    <row r="2350" spans="3:8" x14ac:dyDescent="0.15">
      <c r="C2350" s="26"/>
      <c r="D2350" s="22"/>
      <c r="E2350" s="20"/>
      <c r="F2350" s="20"/>
      <c r="G2350" s="20"/>
      <c r="H2350" s="27"/>
    </row>
    <row r="2351" spans="3:8" x14ac:dyDescent="0.15">
      <c r="C2351" s="26"/>
      <c r="D2351" s="22"/>
      <c r="E2351" s="20"/>
      <c r="F2351" s="20"/>
      <c r="G2351" s="20"/>
      <c r="H2351" s="27"/>
    </row>
    <row r="2352" spans="3:8" x14ac:dyDescent="0.15">
      <c r="C2352" s="26"/>
      <c r="D2352" s="22"/>
      <c r="E2352" s="20"/>
      <c r="F2352" s="20"/>
      <c r="G2352" s="20"/>
      <c r="H2352" s="27"/>
    </row>
    <row r="2353" spans="3:8" x14ac:dyDescent="0.15">
      <c r="C2353" s="26"/>
      <c r="D2353" s="22"/>
      <c r="E2353" s="20"/>
      <c r="F2353" s="20"/>
      <c r="G2353" s="20"/>
      <c r="H2353" s="27"/>
    </row>
    <row r="2354" spans="3:8" x14ac:dyDescent="0.15">
      <c r="C2354" s="26"/>
      <c r="D2354" s="22"/>
      <c r="E2354" s="20"/>
      <c r="F2354" s="20"/>
      <c r="G2354" s="20"/>
      <c r="H2354" s="27"/>
    </row>
    <row r="2355" spans="3:8" x14ac:dyDescent="0.15">
      <c r="C2355" s="26"/>
      <c r="D2355" s="22"/>
      <c r="E2355" s="20"/>
      <c r="F2355" s="20"/>
      <c r="G2355" s="20"/>
      <c r="H2355" s="27"/>
    </row>
    <row r="2356" spans="3:8" x14ac:dyDescent="0.15">
      <c r="C2356" s="26"/>
      <c r="D2356" s="22"/>
      <c r="E2356" s="20"/>
      <c r="F2356" s="20"/>
      <c r="G2356" s="20"/>
      <c r="H2356" s="27"/>
    </row>
    <row r="2357" spans="3:8" x14ac:dyDescent="0.15">
      <c r="C2357" s="26"/>
      <c r="D2357" s="22"/>
      <c r="E2357" s="20"/>
      <c r="F2357" s="20"/>
      <c r="G2357" s="20"/>
      <c r="H2357" s="27"/>
    </row>
    <row r="2358" spans="3:8" x14ac:dyDescent="0.15">
      <c r="C2358" s="26"/>
      <c r="D2358" s="22"/>
      <c r="E2358" s="20"/>
      <c r="F2358" s="20"/>
      <c r="G2358" s="20"/>
      <c r="H2358" s="27"/>
    </row>
    <row r="2359" spans="3:8" x14ac:dyDescent="0.15">
      <c r="C2359" s="26"/>
      <c r="D2359" s="22"/>
      <c r="E2359" s="20"/>
      <c r="F2359" s="20"/>
      <c r="G2359" s="20"/>
      <c r="H2359" s="27"/>
    </row>
    <row r="2360" spans="3:8" x14ac:dyDescent="0.15">
      <c r="C2360" s="26"/>
      <c r="D2360" s="22"/>
      <c r="E2360" s="20"/>
      <c r="F2360" s="20"/>
      <c r="G2360" s="20"/>
      <c r="H2360" s="27"/>
    </row>
    <row r="2361" spans="3:8" x14ac:dyDescent="0.15">
      <c r="C2361" s="26"/>
      <c r="D2361" s="22"/>
      <c r="E2361" s="20"/>
      <c r="F2361" s="20"/>
      <c r="G2361" s="20"/>
      <c r="H2361" s="27"/>
    </row>
    <row r="2362" spans="3:8" x14ac:dyDescent="0.15">
      <c r="C2362" s="26"/>
      <c r="D2362" s="22"/>
      <c r="E2362" s="20"/>
      <c r="F2362" s="20"/>
      <c r="G2362" s="20"/>
      <c r="H2362" s="27"/>
    </row>
    <row r="2363" spans="3:8" x14ac:dyDescent="0.15">
      <c r="C2363" s="26"/>
      <c r="D2363" s="22"/>
      <c r="E2363" s="20"/>
      <c r="F2363" s="20"/>
      <c r="G2363" s="20"/>
      <c r="H2363" s="27"/>
    </row>
    <row r="2364" spans="3:8" x14ac:dyDescent="0.15">
      <c r="C2364" s="26"/>
      <c r="D2364" s="22"/>
      <c r="E2364" s="20"/>
      <c r="F2364" s="20"/>
      <c r="G2364" s="20"/>
      <c r="H2364" s="27"/>
    </row>
    <row r="2365" spans="3:8" x14ac:dyDescent="0.15">
      <c r="C2365" s="26"/>
      <c r="D2365" s="22"/>
      <c r="E2365" s="20"/>
      <c r="F2365" s="20"/>
      <c r="G2365" s="20"/>
      <c r="H2365" s="27"/>
    </row>
    <row r="2366" spans="3:8" x14ac:dyDescent="0.15">
      <c r="C2366" s="26"/>
      <c r="D2366" s="22"/>
      <c r="E2366" s="20"/>
      <c r="F2366" s="20"/>
      <c r="G2366" s="20"/>
      <c r="H2366" s="27"/>
    </row>
    <row r="2367" spans="3:8" x14ac:dyDescent="0.15">
      <c r="C2367" s="26"/>
      <c r="D2367" s="22"/>
      <c r="E2367" s="20"/>
      <c r="F2367" s="20"/>
      <c r="G2367" s="20"/>
      <c r="H2367" s="27"/>
    </row>
    <row r="2368" spans="3:8" x14ac:dyDescent="0.15">
      <c r="C2368" s="26"/>
      <c r="D2368" s="22"/>
      <c r="E2368" s="20"/>
      <c r="F2368" s="20"/>
      <c r="G2368" s="20"/>
      <c r="H2368" s="27"/>
    </row>
    <row r="2369" spans="3:8" x14ac:dyDescent="0.15">
      <c r="C2369" s="26"/>
      <c r="D2369" s="22"/>
      <c r="E2369" s="20"/>
      <c r="F2369" s="20"/>
      <c r="G2369" s="20"/>
      <c r="H2369" s="27"/>
    </row>
    <row r="2370" spans="3:8" x14ac:dyDescent="0.15">
      <c r="C2370" s="26"/>
      <c r="D2370" s="22"/>
      <c r="E2370" s="20"/>
      <c r="F2370" s="20"/>
      <c r="G2370" s="20"/>
      <c r="H2370" s="27"/>
    </row>
    <row r="2371" spans="3:8" x14ac:dyDescent="0.15">
      <c r="C2371" s="26"/>
      <c r="D2371" s="22"/>
      <c r="E2371" s="20"/>
      <c r="F2371" s="20"/>
      <c r="G2371" s="20"/>
      <c r="H2371" s="27"/>
    </row>
    <row r="2372" spans="3:8" x14ac:dyDescent="0.15">
      <c r="C2372" s="26"/>
      <c r="D2372" s="22"/>
      <c r="E2372" s="20"/>
      <c r="F2372" s="20"/>
      <c r="G2372" s="20"/>
      <c r="H2372" s="27"/>
    </row>
    <row r="2373" spans="3:8" x14ac:dyDescent="0.15">
      <c r="C2373" s="26"/>
      <c r="D2373" s="22"/>
      <c r="E2373" s="20"/>
      <c r="F2373" s="20"/>
      <c r="G2373" s="20"/>
      <c r="H2373" s="27"/>
    </row>
    <row r="2374" spans="3:8" x14ac:dyDescent="0.15">
      <c r="C2374" s="26"/>
      <c r="D2374" s="22"/>
      <c r="E2374" s="20"/>
      <c r="F2374" s="20"/>
      <c r="G2374" s="20"/>
      <c r="H2374" s="27"/>
    </row>
    <row r="2375" spans="3:8" x14ac:dyDescent="0.15">
      <c r="C2375" s="26"/>
      <c r="D2375" s="22"/>
      <c r="E2375" s="20"/>
      <c r="F2375" s="20"/>
      <c r="G2375" s="20"/>
      <c r="H2375" s="27"/>
    </row>
    <row r="2376" spans="3:8" x14ac:dyDescent="0.15">
      <c r="C2376" s="26"/>
      <c r="D2376" s="22"/>
      <c r="E2376" s="20"/>
      <c r="F2376" s="20"/>
      <c r="G2376" s="20"/>
      <c r="H2376" s="27"/>
    </row>
    <row r="2377" spans="3:8" x14ac:dyDescent="0.15">
      <c r="C2377" s="26"/>
      <c r="D2377" s="22"/>
      <c r="E2377" s="20"/>
      <c r="F2377" s="20"/>
      <c r="G2377" s="20"/>
      <c r="H2377" s="27"/>
    </row>
    <row r="2378" spans="3:8" x14ac:dyDescent="0.15">
      <c r="C2378" s="26"/>
      <c r="D2378" s="22"/>
      <c r="E2378" s="20"/>
      <c r="F2378" s="20"/>
      <c r="G2378" s="20"/>
      <c r="H2378" s="27"/>
    </row>
    <row r="2379" spans="3:8" x14ac:dyDescent="0.15">
      <c r="C2379" s="26"/>
      <c r="D2379" s="22"/>
      <c r="E2379" s="20"/>
      <c r="F2379" s="20"/>
      <c r="G2379" s="20"/>
      <c r="H2379" s="27"/>
    </row>
    <row r="2380" spans="3:8" x14ac:dyDescent="0.15">
      <c r="C2380" s="26"/>
      <c r="D2380" s="22"/>
      <c r="E2380" s="20"/>
      <c r="F2380" s="20"/>
      <c r="G2380" s="20"/>
      <c r="H2380" s="27"/>
    </row>
    <row r="2381" spans="3:8" x14ac:dyDescent="0.15">
      <c r="C2381" s="26"/>
      <c r="D2381" s="22"/>
      <c r="E2381" s="20"/>
      <c r="F2381" s="20"/>
      <c r="G2381" s="20"/>
      <c r="H2381" s="27"/>
    </row>
    <row r="2382" spans="3:8" x14ac:dyDescent="0.15">
      <c r="C2382" s="26"/>
      <c r="D2382" s="22"/>
      <c r="E2382" s="20"/>
      <c r="F2382" s="20"/>
      <c r="G2382" s="20"/>
      <c r="H2382" s="27"/>
    </row>
    <row r="2383" spans="3:8" x14ac:dyDescent="0.15">
      <c r="C2383" s="26"/>
      <c r="D2383" s="22"/>
      <c r="E2383" s="20"/>
      <c r="F2383" s="20"/>
      <c r="G2383" s="20"/>
      <c r="H2383" s="27"/>
    </row>
    <row r="2384" spans="3:8" x14ac:dyDescent="0.15">
      <c r="C2384" s="26"/>
      <c r="D2384" s="22"/>
      <c r="E2384" s="20"/>
      <c r="F2384" s="20"/>
      <c r="G2384" s="20"/>
      <c r="H2384" s="27"/>
    </row>
    <row r="2385" spans="3:8" x14ac:dyDescent="0.15">
      <c r="C2385" s="26"/>
      <c r="D2385" s="22"/>
      <c r="E2385" s="20"/>
      <c r="F2385" s="20"/>
      <c r="G2385" s="20"/>
      <c r="H2385" s="27"/>
    </row>
    <row r="2386" spans="3:8" x14ac:dyDescent="0.15">
      <c r="C2386" s="26"/>
      <c r="D2386" s="22"/>
      <c r="E2386" s="20"/>
      <c r="F2386" s="20"/>
      <c r="G2386" s="20"/>
      <c r="H2386" s="27"/>
    </row>
    <row r="2387" spans="3:8" x14ac:dyDescent="0.15">
      <c r="C2387" s="26"/>
      <c r="D2387" s="22"/>
      <c r="E2387" s="20"/>
      <c r="F2387" s="20"/>
      <c r="G2387" s="20"/>
      <c r="H2387" s="27"/>
    </row>
    <row r="2388" spans="3:8" x14ac:dyDescent="0.15">
      <c r="C2388" s="26"/>
      <c r="D2388" s="22"/>
      <c r="E2388" s="20"/>
      <c r="F2388" s="20"/>
      <c r="G2388" s="20"/>
      <c r="H2388" s="27"/>
    </row>
    <row r="2389" spans="3:8" x14ac:dyDescent="0.15">
      <c r="C2389" s="26"/>
      <c r="D2389" s="22"/>
      <c r="E2389" s="20"/>
      <c r="F2389" s="20"/>
      <c r="G2389" s="20"/>
      <c r="H2389" s="27"/>
    </row>
    <row r="2390" spans="3:8" x14ac:dyDescent="0.15">
      <c r="C2390" s="26"/>
      <c r="D2390" s="22"/>
      <c r="E2390" s="20"/>
      <c r="F2390" s="20"/>
      <c r="G2390" s="20"/>
      <c r="H2390" s="27"/>
    </row>
    <row r="2391" spans="3:8" x14ac:dyDescent="0.15">
      <c r="C2391" s="26"/>
      <c r="D2391" s="22"/>
      <c r="E2391" s="20"/>
      <c r="F2391" s="20"/>
      <c r="G2391" s="20"/>
      <c r="H2391" s="27"/>
    </row>
    <row r="2392" spans="3:8" x14ac:dyDescent="0.15">
      <c r="C2392" s="26"/>
      <c r="D2392" s="22"/>
      <c r="E2392" s="20"/>
      <c r="F2392" s="20"/>
      <c r="G2392" s="20"/>
      <c r="H2392" s="27"/>
    </row>
    <row r="2393" spans="3:8" x14ac:dyDescent="0.15">
      <c r="C2393" s="26"/>
      <c r="D2393" s="22"/>
      <c r="E2393" s="20"/>
      <c r="F2393" s="20"/>
      <c r="G2393" s="20"/>
      <c r="H2393" s="27"/>
    </row>
    <row r="2394" spans="3:8" x14ac:dyDescent="0.15">
      <c r="C2394" s="26"/>
      <c r="D2394" s="22"/>
      <c r="E2394" s="20"/>
      <c r="F2394" s="20"/>
      <c r="G2394" s="20"/>
      <c r="H2394" s="27"/>
    </row>
    <row r="2395" spans="3:8" x14ac:dyDescent="0.15">
      <c r="C2395" s="26"/>
      <c r="D2395" s="22"/>
      <c r="E2395" s="20"/>
      <c r="F2395" s="20"/>
      <c r="G2395" s="20"/>
      <c r="H2395" s="27"/>
    </row>
    <row r="2396" spans="3:8" x14ac:dyDescent="0.15">
      <c r="C2396" s="26"/>
      <c r="D2396" s="22"/>
      <c r="E2396" s="20"/>
      <c r="F2396" s="20"/>
      <c r="G2396" s="20"/>
      <c r="H2396" s="27"/>
    </row>
    <row r="2397" spans="3:8" x14ac:dyDescent="0.15">
      <c r="C2397" s="26"/>
      <c r="D2397" s="22"/>
      <c r="E2397" s="20"/>
      <c r="F2397" s="20"/>
      <c r="G2397" s="20"/>
      <c r="H2397" s="27"/>
    </row>
    <row r="2398" spans="3:8" x14ac:dyDescent="0.15">
      <c r="C2398" s="26"/>
      <c r="D2398" s="22"/>
      <c r="E2398" s="20"/>
      <c r="F2398" s="20"/>
      <c r="G2398" s="20"/>
      <c r="H2398" s="27"/>
    </row>
    <row r="2399" spans="3:8" x14ac:dyDescent="0.15">
      <c r="C2399" s="26"/>
      <c r="D2399" s="22"/>
      <c r="E2399" s="20"/>
      <c r="F2399" s="20"/>
      <c r="G2399" s="20"/>
      <c r="H2399" s="27"/>
    </row>
    <row r="2400" spans="3:8" x14ac:dyDescent="0.15">
      <c r="C2400" s="26"/>
      <c r="D2400" s="22"/>
      <c r="E2400" s="20"/>
      <c r="F2400" s="20"/>
      <c r="G2400" s="20"/>
      <c r="H2400" s="27"/>
    </row>
    <row r="2401" spans="3:8" x14ac:dyDescent="0.15">
      <c r="C2401" s="26"/>
      <c r="D2401" s="22"/>
      <c r="E2401" s="20"/>
      <c r="F2401" s="20"/>
      <c r="G2401" s="20"/>
      <c r="H2401" s="27"/>
    </row>
    <row r="2402" spans="3:8" x14ac:dyDescent="0.15">
      <c r="C2402" s="26"/>
      <c r="D2402" s="22"/>
      <c r="E2402" s="20"/>
      <c r="F2402" s="20"/>
      <c r="G2402" s="20"/>
      <c r="H2402" s="27"/>
    </row>
    <row r="2403" spans="3:8" x14ac:dyDescent="0.15">
      <c r="C2403" s="26"/>
      <c r="D2403" s="22"/>
      <c r="E2403" s="20"/>
      <c r="F2403" s="20"/>
      <c r="G2403" s="20"/>
      <c r="H2403" s="27"/>
    </row>
    <row r="2404" spans="3:8" x14ac:dyDescent="0.15">
      <c r="C2404" s="26"/>
      <c r="D2404" s="22"/>
      <c r="E2404" s="20"/>
      <c r="F2404" s="20"/>
      <c r="G2404" s="20"/>
      <c r="H2404" s="27"/>
    </row>
    <row r="2405" spans="3:8" x14ac:dyDescent="0.15">
      <c r="C2405" s="26"/>
      <c r="D2405" s="22"/>
      <c r="E2405" s="20"/>
      <c r="F2405" s="20"/>
      <c r="G2405" s="20"/>
      <c r="H2405" s="27"/>
    </row>
    <row r="2406" spans="3:8" x14ac:dyDescent="0.15">
      <c r="C2406" s="26"/>
      <c r="D2406" s="22"/>
      <c r="E2406" s="20"/>
      <c r="F2406" s="20"/>
      <c r="G2406" s="20"/>
      <c r="H2406" s="27"/>
    </row>
    <row r="2407" spans="3:8" x14ac:dyDescent="0.15">
      <c r="C2407" s="26"/>
      <c r="D2407" s="22"/>
      <c r="E2407" s="20"/>
      <c r="F2407" s="20"/>
      <c r="G2407" s="20"/>
      <c r="H2407" s="27"/>
    </row>
    <row r="2408" spans="3:8" x14ac:dyDescent="0.15">
      <c r="C2408" s="26"/>
      <c r="D2408" s="22"/>
      <c r="E2408" s="20"/>
      <c r="F2408" s="20"/>
      <c r="G2408" s="20"/>
      <c r="H2408" s="27"/>
    </row>
    <row r="2409" spans="3:8" x14ac:dyDescent="0.15">
      <c r="C2409" s="26"/>
      <c r="D2409" s="22"/>
      <c r="E2409" s="20"/>
      <c r="F2409" s="20"/>
      <c r="G2409" s="20"/>
      <c r="H2409" s="27"/>
    </row>
    <row r="2410" spans="3:8" x14ac:dyDescent="0.15">
      <c r="C2410" s="26"/>
      <c r="D2410" s="22"/>
      <c r="E2410" s="20"/>
      <c r="F2410" s="20"/>
      <c r="G2410" s="20"/>
      <c r="H2410" s="27"/>
    </row>
    <row r="2411" spans="3:8" x14ac:dyDescent="0.15">
      <c r="C2411" s="26"/>
      <c r="D2411" s="22"/>
      <c r="E2411" s="20"/>
      <c r="F2411" s="20"/>
      <c r="G2411" s="20"/>
      <c r="H2411" s="27"/>
    </row>
    <row r="2412" spans="3:8" x14ac:dyDescent="0.15">
      <c r="C2412" s="26"/>
      <c r="D2412" s="22"/>
      <c r="E2412" s="20"/>
      <c r="F2412" s="20"/>
      <c r="G2412" s="20"/>
      <c r="H2412" s="27"/>
    </row>
    <row r="2413" spans="3:8" x14ac:dyDescent="0.15">
      <c r="C2413" s="26"/>
      <c r="D2413" s="22"/>
      <c r="E2413" s="20"/>
      <c r="F2413" s="20"/>
      <c r="G2413" s="20"/>
      <c r="H2413" s="27"/>
    </row>
    <row r="2414" spans="3:8" x14ac:dyDescent="0.15">
      <c r="C2414" s="26"/>
      <c r="D2414" s="22"/>
      <c r="E2414" s="20"/>
      <c r="F2414" s="20"/>
      <c r="G2414" s="20"/>
      <c r="H2414" s="27"/>
    </row>
    <row r="2415" spans="3:8" x14ac:dyDescent="0.15">
      <c r="C2415" s="26"/>
      <c r="D2415" s="22"/>
      <c r="E2415" s="20"/>
      <c r="F2415" s="20"/>
      <c r="G2415" s="20"/>
      <c r="H2415" s="27"/>
    </row>
    <row r="2416" spans="3:8" x14ac:dyDescent="0.15">
      <c r="C2416" s="26"/>
      <c r="D2416" s="22"/>
      <c r="E2416" s="20"/>
      <c r="F2416" s="20"/>
      <c r="G2416" s="20"/>
      <c r="H2416" s="27"/>
    </row>
    <row r="2417" spans="3:8" x14ac:dyDescent="0.15">
      <c r="C2417" s="26"/>
      <c r="D2417" s="22"/>
      <c r="E2417" s="20"/>
      <c r="F2417" s="20"/>
      <c r="G2417" s="20"/>
      <c r="H2417" s="27"/>
    </row>
    <row r="2418" spans="3:8" x14ac:dyDescent="0.15">
      <c r="C2418" s="26"/>
      <c r="D2418" s="22"/>
      <c r="E2418" s="20"/>
      <c r="F2418" s="20"/>
      <c r="G2418" s="20"/>
      <c r="H2418" s="27"/>
    </row>
    <row r="2419" spans="3:8" x14ac:dyDescent="0.15">
      <c r="C2419" s="26"/>
      <c r="D2419" s="22"/>
      <c r="E2419" s="20"/>
      <c r="F2419" s="20"/>
      <c r="G2419" s="20"/>
      <c r="H2419" s="27"/>
    </row>
    <row r="2420" spans="3:8" x14ac:dyDescent="0.15">
      <c r="C2420" s="26"/>
      <c r="D2420" s="22"/>
      <c r="E2420" s="20"/>
      <c r="F2420" s="20"/>
      <c r="G2420" s="20"/>
      <c r="H2420" s="27"/>
    </row>
    <row r="2421" spans="3:8" x14ac:dyDescent="0.15">
      <c r="C2421" s="26"/>
      <c r="D2421" s="22"/>
      <c r="E2421" s="20"/>
      <c r="F2421" s="20"/>
      <c r="G2421" s="20"/>
      <c r="H2421" s="27"/>
    </row>
    <row r="2422" spans="3:8" x14ac:dyDescent="0.15">
      <c r="C2422" s="26"/>
      <c r="D2422" s="22"/>
      <c r="E2422" s="20"/>
      <c r="F2422" s="20"/>
      <c r="G2422" s="20"/>
      <c r="H2422" s="27"/>
    </row>
    <row r="2423" spans="3:8" x14ac:dyDescent="0.15">
      <c r="C2423" s="26"/>
      <c r="D2423" s="22"/>
      <c r="E2423" s="20"/>
      <c r="F2423" s="20"/>
      <c r="G2423" s="20"/>
      <c r="H2423" s="27"/>
    </row>
    <row r="2424" spans="3:8" x14ac:dyDescent="0.15">
      <c r="C2424" s="26"/>
      <c r="D2424" s="22"/>
      <c r="E2424" s="20"/>
      <c r="F2424" s="20"/>
      <c r="G2424" s="20"/>
      <c r="H2424" s="27"/>
    </row>
    <row r="2425" spans="3:8" x14ac:dyDescent="0.15">
      <c r="C2425" s="26"/>
      <c r="D2425" s="22"/>
      <c r="E2425" s="20"/>
      <c r="F2425" s="20"/>
      <c r="G2425" s="20"/>
      <c r="H2425" s="27"/>
    </row>
    <row r="2426" spans="3:8" x14ac:dyDescent="0.15">
      <c r="C2426" s="26"/>
      <c r="D2426" s="22"/>
      <c r="E2426" s="20"/>
      <c r="F2426" s="20"/>
      <c r="G2426" s="20"/>
      <c r="H2426" s="27"/>
    </row>
    <row r="2427" spans="3:8" x14ac:dyDescent="0.15">
      <c r="C2427" s="26"/>
      <c r="D2427" s="22"/>
      <c r="E2427" s="20"/>
      <c r="F2427" s="20"/>
      <c r="G2427" s="20"/>
      <c r="H2427" s="27"/>
    </row>
    <row r="2428" spans="3:8" x14ac:dyDescent="0.15">
      <c r="C2428" s="26"/>
      <c r="D2428" s="22"/>
      <c r="E2428" s="20"/>
      <c r="F2428" s="20"/>
      <c r="G2428" s="20"/>
      <c r="H2428" s="27"/>
    </row>
    <row r="2429" spans="3:8" x14ac:dyDescent="0.15">
      <c r="C2429" s="26"/>
      <c r="D2429" s="22"/>
      <c r="E2429" s="20"/>
      <c r="F2429" s="20"/>
      <c r="G2429" s="20"/>
      <c r="H2429" s="27"/>
    </row>
    <row r="2430" spans="3:8" x14ac:dyDescent="0.15">
      <c r="C2430" s="26"/>
      <c r="D2430" s="22"/>
      <c r="E2430" s="20"/>
      <c r="F2430" s="20"/>
      <c r="G2430" s="20"/>
      <c r="H2430" s="27"/>
    </row>
    <row r="2431" spans="3:8" x14ac:dyDescent="0.15">
      <c r="C2431" s="26"/>
      <c r="D2431" s="22"/>
      <c r="E2431" s="20"/>
      <c r="F2431" s="20"/>
      <c r="G2431" s="20"/>
      <c r="H2431" s="27"/>
    </row>
    <row r="2432" spans="3:8" x14ac:dyDescent="0.15">
      <c r="C2432" s="26"/>
      <c r="D2432" s="22"/>
      <c r="E2432" s="20"/>
      <c r="F2432" s="20"/>
      <c r="G2432" s="20"/>
      <c r="H2432" s="27"/>
    </row>
    <row r="2433" spans="3:8" x14ac:dyDescent="0.15">
      <c r="C2433" s="26"/>
      <c r="D2433" s="22"/>
      <c r="E2433" s="20"/>
      <c r="F2433" s="20"/>
      <c r="G2433" s="20"/>
      <c r="H2433" s="27"/>
    </row>
    <row r="2434" spans="3:8" x14ac:dyDescent="0.15">
      <c r="C2434" s="26"/>
      <c r="D2434" s="22"/>
      <c r="E2434" s="20"/>
      <c r="F2434" s="20"/>
      <c r="G2434" s="20"/>
      <c r="H2434" s="27"/>
    </row>
    <row r="2435" spans="3:8" x14ac:dyDescent="0.15">
      <c r="C2435" s="26"/>
      <c r="D2435" s="22"/>
      <c r="E2435" s="20"/>
      <c r="F2435" s="20"/>
      <c r="G2435" s="20"/>
      <c r="H2435" s="27"/>
    </row>
    <row r="2436" spans="3:8" x14ac:dyDescent="0.15">
      <c r="C2436" s="26"/>
      <c r="D2436" s="22"/>
      <c r="E2436" s="20"/>
      <c r="F2436" s="20"/>
      <c r="G2436" s="20"/>
      <c r="H2436" s="27"/>
    </row>
    <row r="2437" spans="3:8" x14ac:dyDescent="0.15">
      <c r="C2437" s="26"/>
      <c r="D2437" s="22"/>
      <c r="E2437" s="20"/>
      <c r="F2437" s="20"/>
      <c r="G2437" s="20"/>
      <c r="H2437" s="27"/>
    </row>
    <row r="2438" spans="3:8" x14ac:dyDescent="0.15">
      <c r="C2438" s="26"/>
      <c r="D2438" s="22"/>
      <c r="E2438" s="20"/>
      <c r="F2438" s="20"/>
      <c r="G2438" s="20"/>
      <c r="H2438" s="27"/>
    </row>
    <row r="2439" spans="3:8" x14ac:dyDescent="0.15">
      <c r="C2439" s="26"/>
      <c r="D2439" s="22"/>
      <c r="E2439" s="20"/>
      <c r="F2439" s="20"/>
      <c r="G2439" s="20"/>
      <c r="H2439" s="27"/>
    </row>
    <row r="2440" spans="3:8" x14ac:dyDescent="0.15">
      <c r="C2440" s="26"/>
      <c r="D2440" s="22"/>
      <c r="E2440" s="20"/>
      <c r="F2440" s="20"/>
      <c r="G2440" s="20"/>
      <c r="H2440" s="27"/>
    </row>
    <row r="2441" spans="3:8" x14ac:dyDescent="0.15">
      <c r="C2441" s="26"/>
      <c r="D2441" s="22"/>
      <c r="E2441" s="20"/>
      <c r="F2441" s="20"/>
      <c r="G2441" s="20"/>
      <c r="H2441" s="27"/>
    </row>
    <row r="2442" spans="3:8" x14ac:dyDescent="0.15">
      <c r="C2442" s="26"/>
      <c r="D2442" s="22"/>
      <c r="E2442" s="20"/>
      <c r="F2442" s="20"/>
      <c r="G2442" s="20"/>
      <c r="H2442" s="27"/>
    </row>
    <row r="2443" spans="3:8" x14ac:dyDescent="0.15">
      <c r="C2443" s="26"/>
      <c r="D2443" s="22"/>
      <c r="E2443" s="20"/>
      <c r="F2443" s="20"/>
      <c r="G2443" s="20"/>
      <c r="H2443" s="27"/>
    </row>
    <row r="2444" spans="3:8" x14ac:dyDescent="0.15">
      <c r="C2444" s="26"/>
      <c r="D2444" s="22"/>
      <c r="E2444" s="20"/>
      <c r="F2444" s="20"/>
      <c r="G2444" s="20"/>
      <c r="H2444" s="27"/>
    </row>
    <row r="2445" spans="3:8" x14ac:dyDescent="0.15">
      <c r="C2445" s="26"/>
      <c r="D2445" s="22"/>
      <c r="E2445" s="20"/>
      <c r="F2445" s="20"/>
      <c r="G2445" s="20"/>
      <c r="H2445" s="27"/>
    </row>
    <row r="2446" spans="3:8" x14ac:dyDescent="0.15">
      <c r="C2446" s="26"/>
      <c r="D2446" s="22"/>
      <c r="E2446" s="20"/>
      <c r="F2446" s="20"/>
      <c r="G2446" s="20"/>
      <c r="H2446" s="27"/>
    </row>
    <row r="2447" spans="3:8" x14ac:dyDescent="0.15">
      <c r="C2447" s="26"/>
      <c r="D2447" s="22"/>
      <c r="E2447" s="20"/>
      <c r="F2447" s="20"/>
      <c r="G2447" s="20"/>
      <c r="H2447" s="27"/>
    </row>
    <row r="2448" spans="3:8" x14ac:dyDescent="0.15">
      <c r="C2448" s="26"/>
      <c r="D2448" s="22"/>
      <c r="E2448" s="20"/>
      <c r="F2448" s="20"/>
      <c r="G2448" s="20"/>
      <c r="H2448" s="27"/>
    </row>
    <row r="2449" spans="3:8" x14ac:dyDescent="0.15">
      <c r="C2449" s="26"/>
      <c r="D2449" s="22"/>
      <c r="E2449" s="20"/>
      <c r="F2449" s="20"/>
      <c r="G2449" s="20"/>
      <c r="H2449" s="27"/>
    </row>
    <row r="2450" spans="3:8" x14ac:dyDescent="0.15">
      <c r="C2450" s="26"/>
      <c r="D2450" s="22"/>
      <c r="E2450" s="20"/>
      <c r="F2450" s="20"/>
      <c r="G2450" s="20"/>
      <c r="H2450" s="27"/>
    </row>
    <row r="2451" spans="3:8" x14ac:dyDescent="0.15">
      <c r="C2451" s="26"/>
      <c r="D2451" s="22"/>
      <c r="E2451" s="20"/>
      <c r="F2451" s="20"/>
      <c r="G2451" s="20"/>
      <c r="H2451" s="27"/>
    </row>
    <row r="2452" spans="3:8" x14ac:dyDescent="0.15">
      <c r="C2452" s="26"/>
      <c r="D2452" s="22"/>
      <c r="E2452" s="20"/>
      <c r="F2452" s="20"/>
      <c r="G2452" s="20"/>
      <c r="H2452" s="27"/>
    </row>
    <row r="2453" spans="3:8" x14ac:dyDescent="0.15">
      <c r="C2453" s="26"/>
      <c r="D2453" s="22"/>
      <c r="E2453" s="20"/>
      <c r="F2453" s="20"/>
      <c r="G2453" s="20"/>
      <c r="H2453" s="27"/>
    </row>
    <row r="2454" spans="3:8" x14ac:dyDescent="0.15">
      <c r="C2454" s="26"/>
      <c r="D2454" s="22"/>
      <c r="E2454" s="20"/>
      <c r="F2454" s="20"/>
      <c r="G2454" s="20"/>
      <c r="H2454" s="27"/>
    </row>
    <row r="2455" spans="3:8" x14ac:dyDescent="0.15">
      <c r="C2455" s="26"/>
      <c r="D2455" s="22"/>
      <c r="E2455" s="20"/>
      <c r="F2455" s="20"/>
      <c r="G2455" s="20"/>
      <c r="H2455" s="27"/>
    </row>
    <row r="2456" spans="3:8" x14ac:dyDescent="0.15">
      <c r="C2456" s="26"/>
      <c r="D2456" s="22"/>
      <c r="E2456" s="20"/>
      <c r="F2456" s="20"/>
      <c r="G2456" s="20"/>
      <c r="H2456" s="27"/>
    </row>
    <row r="2457" spans="3:8" x14ac:dyDescent="0.15">
      <c r="C2457" s="26"/>
      <c r="D2457" s="22"/>
      <c r="E2457" s="20"/>
      <c r="F2457" s="20"/>
      <c r="G2457" s="20"/>
      <c r="H2457" s="27"/>
    </row>
    <row r="2458" spans="3:8" x14ac:dyDescent="0.15">
      <c r="C2458" s="26"/>
      <c r="D2458" s="22"/>
      <c r="E2458" s="20"/>
      <c r="F2458" s="20"/>
      <c r="G2458" s="20"/>
      <c r="H2458" s="27"/>
    </row>
    <row r="2459" spans="3:8" x14ac:dyDescent="0.15">
      <c r="C2459" s="26"/>
      <c r="D2459" s="22"/>
      <c r="E2459" s="20"/>
      <c r="F2459" s="20"/>
      <c r="G2459" s="20"/>
      <c r="H2459" s="27"/>
    </row>
    <row r="2460" spans="3:8" x14ac:dyDescent="0.15">
      <c r="C2460" s="26"/>
      <c r="D2460" s="22"/>
      <c r="E2460" s="20"/>
      <c r="F2460" s="20"/>
      <c r="G2460" s="20"/>
      <c r="H2460" s="27"/>
    </row>
    <row r="2461" spans="3:8" x14ac:dyDescent="0.15">
      <c r="C2461" s="26"/>
      <c r="D2461" s="22"/>
      <c r="E2461" s="20"/>
      <c r="F2461" s="20"/>
      <c r="G2461" s="20"/>
      <c r="H2461" s="27"/>
    </row>
    <row r="2462" spans="3:8" x14ac:dyDescent="0.15">
      <c r="C2462" s="26"/>
      <c r="D2462" s="22"/>
      <c r="E2462" s="20"/>
      <c r="F2462" s="20"/>
      <c r="G2462" s="20"/>
      <c r="H2462" s="27"/>
    </row>
    <row r="2463" spans="3:8" x14ac:dyDescent="0.15">
      <c r="C2463" s="26"/>
      <c r="D2463" s="22"/>
      <c r="E2463" s="20"/>
      <c r="F2463" s="20"/>
      <c r="G2463" s="20"/>
      <c r="H2463" s="27"/>
    </row>
    <row r="2464" spans="3:8" x14ac:dyDescent="0.15">
      <c r="C2464" s="26"/>
      <c r="D2464" s="22"/>
      <c r="E2464" s="20"/>
      <c r="F2464" s="20"/>
      <c r="G2464" s="20"/>
      <c r="H2464" s="27"/>
    </row>
    <row r="2465" spans="3:8" x14ac:dyDescent="0.15">
      <c r="C2465" s="26"/>
      <c r="D2465" s="22"/>
      <c r="E2465" s="20"/>
      <c r="F2465" s="20"/>
      <c r="G2465" s="20"/>
      <c r="H2465" s="27"/>
    </row>
    <row r="2466" spans="3:8" x14ac:dyDescent="0.15">
      <c r="C2466" s="26"/>
      <c r="D2466" s="22"/>
      <c r="E2466" s="20"/>
      <c r="F2466" s="20"/>
      <c r="G2466" s="20"/>
      <c r="H2466" s="27"/>
    </row>
    <row r="2467" spans="3:8" x14ac:dyDescent="0.15">
      <c r="C2467" s="26"/>
      <c r="D2467" s="22"/>
      <c r="E2467" s="20"/>
      <c r="F2467" s="20"/>
      <c r="G2467" s="20"/>
      <c r="H2467" s="27"/>
    </row>
    <row r="2468" spans="3:8" x14ac:dyDescent="0.15">
      <c r="C2468" s="26"/>
      <c r="D2468" s="22"/>
      <c r="E2468" s="20"/>
      <c r="F2468" s="20"/>
      <c r="G2468" s="20"/>
      <c r="H2468" s="27"/>
    </row>
    <row r="2469" spans="3:8" x14ac:dyDescent="0.15">
      <c r="C2469" s="26"/>
      <c r="D2469" s="22"/>
      <c r="E2469" s="20"/>
      <c r="F2469" s="20"/>
      <c r="G2469" s="20"/>
      <c r="H2469" s="27"/>
    </row>
    <row r="2470" spans="3:8" x14ac:dyDescent="0.15">
      <c r="C2470" s="26"/>
      <c r="D2470" s="22"/>
      <c r="E2470" s="20"/>
      <c r="F2470" s="20"/>
      <c r="G2470" s="20"/>
      <c r="H2470" s="27"/>
    </row>
    <row r="2471" spans="3:8" x14ac:dyDescent="0.15">
      <c r="C2471" s="26"/>
      <c r="D2471" s="22"/>
      <c r="E2471" s="20"/>
      <c r="F2471" s="20"/>
      <c r="G2471" s="20"/>
      <c r="H2471" s="27"/>
    </row>
    <row r="2472" spans="3:8" x14ac:dyDescent="0.15">
      <c r="C2472" s="26"/>
      <c r="D2472" s="22"/>
      <c r="E2472" s="20"/>
      <c r="F2472" s="20"/>
      <c r="G2472" s="20"/>
      <c r="H2472" s="27"/>
    </row>
    <row r="2473" spans="3:8" x14ac:dyDescent="0.15">
      <c r="C2473" s="26"/>
      <c r="D2473" s="22"/>
      <c r="E2473" s="20"/>
      <c r="F2473" s="20"/>
      <c r="G2473" s="20"/>
      <c r="H2473" s="27"/>
    </row>
    <row r="2474" spans="3:8" x14ac:dyDescent="0.15">
      <c r="C2474" s="26"/>
      <c r="D2474" s="22"/>
      <c r="E2474" s="20"/>
      <c r="F2474" s="20"/>
      <c r="G2474" s="20"/>
      <c r="H2474" s="27"/>
    </row>
    <row r="2475" spans="3:8" x14ac:dyDescent="0.15">
      <c r="C2475" s="26"/>
      <c r="D2475" s="22"/>
      <c r="E2475" s="20"/>
      <c r="F2475" s="20"/>
      <c r="G2475" s="20"/>
      <c r="H2475" s="27"/>
    </row>
    <row r="2476" spans="3:8" x14ac:dyDescent="0.15">
      <c r="C2476" s="26"/>
      <c r="D2476" s="22"/>
      <c r="E2476" s="20"/>
      <c r="F2476" s="20"/>
      <c r="G2476" s="20"/>
      <c r="H2476" s="27"/>
    </row>
    <row r="2477" spans="3:8" x14ac:dyDescent="0.15">
      <c r="C2477" s="26"/>
      <c r="D2477" s="22"/>
      <c r="E2477" s="20"/>
      <c r="F2477" s="20"/>
      <c r="G2477" s="20"/>
      <c r="H2477" s="27"/>
    </row>
    <row r="2478" spans="3:8" x14ac:dyDescent="0.15">
      <c r="C2478" s="26"/>
      <c r="D2478" s="22"/>
      <c r="E2478" s="20"/>
      <c r="F2478" s="20"/>
      <c r="G2478" s="20"/>
      <c r="H2478" s="27"/>
    </row>
    <row r="2479" spans="3:8" x14ac:dyDescent="0.15">
      <c r="C2479" s="26"/>
      <c r="D2479" s="22"/>
      <c r="E2479" s="20"/>
      <c r="F2479" s="20"/>
      <c r="G2479" s="20"/>
      <c r="H2479" s="27"/>
    </row>
    <row r="2480" spans="3:8" x14ac:dyDescent="0.15">
      <c r="C2480" s="26"/>
      <c r="D2480" s="22"/>
      <c r="E2480" s="20"/>
      <c r="F2480" s="20"/>
      <c r="G2480" s="20"/>
      <c r="H2480" s="27"/>
    </row>
    <row r="2481" spans="3:8" x14ac:dyDescent="0.15">
      <c r="C2481" s="26"/>
      <c r="D2481" s="22"/>
      <c r="E2481" s="20"/>
      <c r="F2481" s="20"/>
      <c r="G2481" s="20"/>
      <c r="H2481" s="27"/>
    </row>
    <row r="2482" spans="3:8" x14ac:dyDescent="0.15">
      <c r="C2482" s="26"/>
      <c r="D2482" s="22"/>
      <c r="E2482" s="20"/>
      <c r="F2482" s="20"/>
      <c r="G2482" s="20"/>
      <c r="H2482" s="27"/>
    </row>
    <row r="2483" spans="3:8" x14ac:dyDescent="0.15">
      <c r="C2483" s="26"/>
      <c r="D2483" s="22"/>
      <c r="E2483" s="20"/>
      <c r="F2483" s="20"/>
      <c r="G2483" s="20"/>
      <c r="H2483" s="27"/>
    </row>
    <row r="2484" spans="3:8" x14ac:dyDescent="0.15">
      <c r="C2484" s="26"/>
      <c r="D2484" s="22"/>
      <c r="E2484" s="20"/>
      <c r="F2484" s="20"/>
      <c r="G2484" s="20"/>
      <c r="H2484" s="27"/>
    </row>
    <row r="2485" spans="3:8" x14ac:dyDescent="0.15">
      <c r="C2485" s="26"/>
      <c r="D2485" s="22"/>
      <c r="E2485" s="20"/>
      <c r="F2485" s="20"/>
      <c r="G2485" s="20"/>
      <c r="H2485" s="27"/>
    </row>
    <row r="2486" spans="3:8" x14ac:dyDescent="0.15">
      <c r="C2486" s="26"/>
      <c r="D2486" s="22"/>
      <c r="E2486" s="20"/>
      <c r="F2486" s="20"/>
      <c r="G2486" s="20"/>
      <c r="H2486" s="27"/>
    </row>
    <row r="2487" spans="3:8" x14ac:dyDescent="0.15">
      <c r="C2487" s="26"/>
      <c r="D2487" s="22"/>
      <c r="E2487" s="20"/>
      <c r="F2487" s="20"/>
      <c r="G2487" s="20"/>
      <c r="H2487" s="27"/>
    </row>
    <row r="2488" spans="3:8" x14ac:dyDescent="0.15">
      <c r="C2488" s="26"/>
      <c r="D2488" s="22"/>
      <c r="E2488" s="20"/>
      <c r="F2488" s="20"/>
      <c r="G2488" s="20"/>
      <c r="H2488" s="27"/>
    </row>
    <row r="2489" spans="3:8" x14ac:dyDescent="0.15">
      <c r="C2489" s="26"/>
      <c r="D2489" s="22"/>
      <c r="E2489" s="20"/>
      <c r="F2489" s="20"/>
      <c r="G2489" s="20"/>
      <c r="H2489" s="27"/>
    </row>
    <row r="2490" spans="3:8" x14ac:dyDescent="0.15">
      <c r="C2490" s="26"/>
      <c r="D2490" s="22"/>
      <c r="E2490" s="20"/>
      <c r="F2490" s="20"/>
      <c r="G2490" s="20"/>
      <c r="H2490" s="27"/>
    </row>
    <row r="2491" spans="3:8" x14ac:dyDescent="0.15">
      <c r="C2491" s="26"/>
      <c r="D2491" s="22"/>
      <c r="E2491" s="20"/>
      <c r="F2491" s="20"/>
      <c r="G2491" s="20"/>
      <c r="H2491" s="27"/>
    </row>
    <row r="2492" spans="3:8" x14ac:dyDescent="0.15">
      <c r="C2492" s="26"/>
      <c r="D2492" s="22"/>
      <c r="E2492" s="20"/>
      <c r="F2492" s="20"/>
      <c r="G2492" s="20"/>
      <c r="H2492" s="27"/>
    </row>
    <row r="2493" spans="3:8" x14ac:dyDescent="0.15">
      <c r="C2493" s="26"/>
      <c r="D2493" s="22"/>
      <c r="E2493" s="20"/>
      <c r="F2493" s="20"/>
      <c r="G2493" s="20"/>
      <c r="H2493" s="27"/>
    </row>
    <row r="2494" spans="3:8" x14ac:dyDescent="0.15">
      <c r="C2494" s="26"/>
      <c r="D2494" s="22"/>
      <c r="E2494" s="20"/>
      <c r="F2494" s="20"/>
      <c r="G2494" s="20"/>
      <c r="H2494" s="27"/>
    </row>
    <row r="2495" spans="3:8" x14ac:dyDescent="0.15">
      <c r="C2495" s="26"/>
      <c r="D2495" s="22"/>
      <c r="E2495" s="20"/>
      <c r="F2495" s="20"/>
      <c r="G2495" s="20"/>
      <c r="H2495" s="27"/>
    </row>
    <row r="2496" spans="3:8" x14ac:dyDescent="0.15">
      <c r="C2496" s="26"/>
      <c r="D2496" s="22"/>
      <c r="E2496" s="20"/>
      <c r="F2496" s="20"/>
      <c r="G2496" s="20"/>
      <c r="H2496" s="27"/>
    </row>
    <row r="2497" spans="3:8" x14ac:dyDescent="0.15">
      <c r="C2497" s="26"/>
      <c r="D2497" s="22"/>
      <c r="E2497" s="20"/>
      <c r="F2497" s="20"/>
      <c r="G2497" s="20"/>
      <c r="H2497" s="27"/>
    </row>
    <row r="2498" spans="3:8" x14ac:dyDescent="0.15">
      <c r="C2498" s="26"/>
      <c r="D2498" s="22"/>
      <c r="E2498" s="20"/>
      <c r="F2498" s="20"/>
      <c r="G2498" s="20"/>
      <c r="H2498" s="27"/>
    </row>
    <row r="2499" spans="3:8" x14ac:dyDescent="0.15">
      <c r="C2499" s="26"/>
      <c r="D2499" s="22"/>
      <c r="E2499" s="20"/>
      <c r="F2499" s="20"/>
      <c r="G2499" s="20"/>
      <c r="H2499" s="27"/>
    </row>
    <row r="2500" spans="3:8" x14ac:dyDescent="0.15">
      <c r="C2500" s="26"/>
      <c r="D2500" s="22"/>
      <c r="E2500" s="20"/>
      <c r="F2500" s="20"/>
      <c r="G2500" s="20"/>
      <c r="H2500" s="27"/>
    </row>
    <row r="2501" spans="3:8" x14ac:dyDescent="0.15">
      <c r="C2501" s="26"/>
      <c r="D2501" s="22"/>
      <c r="E2501" s="20"/>
      <c r="F2501" s="20"/>
      <c r="G2501" s="20"/>
      <c r="H2501" s="27"/>
    </row>
    <row r="2502" spans="3:8" x14ac:dyDescent="0.15">
      <c r="C2502" s="26"/>
      <c r="D2502" s="22"/>
      <c r="E2502" s="20"/>
      <c r="F2502" s="20"/>
      <c r="G2502" s="20"/>
      <c r="H2502" s="27"/>
    </row>
    <row r="2503" spans="3:8" x14ac:dyDescent="0.15">
      <c r="C2503" s="26"/>
      <c r="D2503" s="22"/>
      <c r="E2503" s="20"/>
      <c r="F2503" s="20"/>
      <c r="G2503" s="20"/>
      <c r="H2503" s="27"/>
    </row>
    <row r="2504" spans="3:8" x14ac:dyDescent="0.15">
      <c r="C2504" s="26"/>
      <c r="D2504" s="22"/>
      <c r="E2504" s="20"/>
      <c r="F2504" s="20"/>
      <c r="G2504" s="20"/>
      <c r="H2504" s="27"/>
    </row>
    <row r="2505" spans="3:8" x14ac:dyDescent="0.15">
      <c r="C2505" s="26"/>
      <c r="D2505" s="22"/>
      <c r="E2505" s="20"/>
      <c r="F2505" s="20"/>
      <c r="G2505" s="20"/>
      <c r="H2505" s="27"/>
    </row>
    <row r="2506" spans="3:8" x14ac:dyDescent="0.15">
      <c r="C2506" s="26"/>
      <c r="D2506" s="22"/>
      <c r="E2506" s="20"/>
      <c r="F2506" s="20"/>
      <c r="G2506" s="20"/>
      <c r="H2506" s="27"/>
    </row>
    <row r="2507" spans="3:8" x14ac:dyDescent="0.15">
      <c r="C2507" s="26"/>
      <c r="D2507" s="22"/>
      <c r="E2507" s="20"/>
      <c r="F2507" s="20"/>
      <c r="G2507" s="20"/>
      <c r="H2507" s="27"/>
    </row>
    <row r="2508" spans="3:8" x14ac:dyDescent="0.15">
      <c r="C2508" s="26"/>
      <c r="D2508" s="22"/>
      <c r="E2508" s="20"/>
      <c r="F2508" s="20"/>
      <c r="G2508" s="20"/>
      <c r="H2508" s="27"/>
    </row>
    <row r="2509" spans="3:8" x14ac:dyDescent="0.15">
      <c r="C2509" s="26"/>
      <c r="D2509" s="22"/>
      <c r="E2509" s="20"/>
      <c r="F2509" s="20"/>
      <c r="G2509" s="20"/>
      <c r="H2509" s="27"/>
    </row>
    <row r="2510" spans="3:8" x14ac:dyDescent="0.15">
      <c r="C2510" s="26"/>
      <c r="D2510" s="22"/>
      <c r="E2510" s="20"/>
      <c r="F2510" s="20"/>
      <c r="G2510" s="20"/>
      <c r="H2510" s="27"/>
    </row>
    <row r="2511" spans="3:8" x14ac:dyDescent="0.15">
      <c r="C2511" s="26"/>
      <c r="D2511" s="22"/>
      <c r="E2511" s="20"/>
      <c r="F2511" s="20"/>
      <c r="G2511" s="20"/>
      <c r="H2511" s="27"/>
    </row>
    <row r="2512" spans="3:8" x14ac:dyDescent="0.15">
      <c r="C2512" s="26"/>
      <c r="D2512" s="22"/>
      <c r="E2512" s="20"/>
      <c r="F2512" s="20"/>
      <c r="G2512" s="20"/>
      <c r="H2512" s="27"/>
    </row>
    <row r="2513" spans="3:8" x14ac:dyDescent="0.15">
      <c r="C2513" s="26"/>
      <c r="D2513" s="22"/>
      <c r="E2513" s="20"/>
      <c r="F2513" s="20"/>
      <c r="G2513" s="20"/>
      <c r="H2513" s="27"/>
    </row>
    <row r="2514" spans="3:8" x14ac:dyDescent="0.15">
      <c r="C2514" s="26"/>
      <c r="D2514" s="22"/>
      <c r="E2514" s="20"/>
      <c r="F2514" s="20"/>
      <c r="G2514" s="20"/>
      <c r="H2514" s="27"/>
    </row>
    <row r="2515" spans="3:8" x14ac:dyDescent="0.15">
      <c r="C2515" s="26"/>
      <c r="D2515" s="22"/>
      <c r="E2515" s="20"/>
      <c r="F2515" s="20"/>
      <c r="G2515" s="20"/>
      <c r="H2515" s="27"/>
    </row>
    <row r="2516" spans="3:8" x14ac:dyDescent="0.15">
      <c r="C2516" s="26"/>
      <c r="D2516" s="22"/>
      <c r="E2516" s="20"/>
      <c r="F2516" s="20"/>
      <c r="G2516" s="20"/>
      <c r="H2516" s="27"/>
    </row>
    <row r="2517" spans="3:8" x14ac:dyDescent="0.15">
      <c r="C2517" s="26"/>
      <c r="D2517" s="22"/>
      <c r="E2517" s="20"/>
      <c r="F2517" s="20"/>
      <c r="G2517" s="20"/>
      <c r="H2517" s="27"/>
    </row>
    <row r="2518" spans="3:8" x14ac:dyDescent="0.15">
      <c r="C2518" s="26"/>
      <c r="D2518" s="22"/>
      <c r="E2518" s="20"/>
      <c r="F2518" s="20"/>
      <c r="G2518" s="20"/>
      <c r="H2518" s="27"/>
    </row>
    <row r="2519" spans="3:8" x14ac:dyDescent="0.15">
      <c r="C2519" s="26"/>
      <c r="D2519" s="22"/>
      <c r="E2519" s="20"/>
      <c r="F2519" s="20"/>
      <c r="G2519" s="20"/>
      <c r="H2519" s="27"/>
    </row>
    <row r="2520" spans="3:8" x14ac:dyDescent="0.15">
      <c r="C2520" s="26"/>
      <c r="D2520" s="22"/>
      <c r="E2520" s="20"/>
      <c r="F2520" s="20"/>
      <c r="G2520" s="20"/>
      <c r="H2520" s="27"/>
    </row>
    <row r="2521" spans="3:8" x14ac:dyDescent="0.15">
      <c r="C2521" s="26"/>
      <c r="D2521" s="22"/>
      <c r="E2521" s="20"/>
      <c r="F2521" s="20"/>
      <c r="G2521" s="20"/>
      <c r="H2521" s="27"/>
    </row>
    <row r="2522" spans="3:8" x14ac:dyDescent="0.15">
      <c r="C2522" s="26"/>
      <c r="D2522" s="22"/>
      <c r="E2522" s="20"/>
      <c r="F2522" s="20"/>
      <c r="G2522" s="20"/>
      <c r="H2522" s="27"/>
    </row>
    <row r="2523" spans="3:8" x14ac:dyDescent="0.15">
      <c r="C2523" s="26"/>
      <c r="D2523" s="22"/>
      <c r="E2523" s="20"/>
      <c r="F2523" s="20"/>
      <c r="G2523" s="20"/>
      <c r="H2523" s="27"/>
    </row>
    <row r="2524" spans="3:8" x14ac:dyDescent="0.15">
      <c r="C2524" s="26"/>
      <c r="D2524" s="22"/>
      <c r="E2524" s="20"/>
      <c r="F2524" s="20"/>
      <c r="G2524" s="20"/>
      <c r="H2524" s="27"/>
    </row>
    <row r="2525" spans="3:8" x14ac:dyDescent="0.15">
      <c r="C2525" s="26"/>
      <c r="D2525" s="22"/>
      <c r="E2525" s="20"/>
      <c r="F2525" s="20"/>
      <c r="G2525" s="20"/>
      <c r="H2525" s="27"/>
    </row>
    <row r="2526" spans="3:8" x14ac:dyDescent="0.15">
      <c r="C2526" s="26"/>
      <c r="D2526" s="22"/>
      <c r="E2526" s="20"/>
      <c r="F2526" s="20"/>
      <c r="G2526" s="20"/>
      <c r="H2526" s="27"/>
    </row>
    <row r="2527" spans="3:8" x14ac:dyDescent="0.15">
      <c r="C2527" s="26"/>
      <c r="D2527" s="22"/>
      <c r="E2527" s="20"/>
      <c r="F2527" s="20"/>
      <c r="G2527" s="20"/>
      <c r="H2527" s="27"/>
    </row>
    <row r="2528" spans="3:8" x14ac:dyDescent="0.15">
      <c r="C2528" s="26"/>
      <c r="D2528" s="22"/>
      <c r="E2528" s="20"/>
      <c r="F2528" s="20"/>
      <c r="G2528" s="20"/>
      <c r="H2528" s="27"/>
    </row>
    <row r="2529" spans="3:8" x14ac:dyDescent="0.15">
      <c r="C2529" s="26"/>
      <c r="D2529" s="22"/>
      <c r="E2529" s="20"/>
      <c r="F2529" s="20"/>
      <c r="G2529" s="20"/>
      <c r="H2529" s="27"/>
    </row>
    <row r="2530" spans="3:8" x14ac:dyDescent="0.15">
      <c r="C2530" s="26"/>
      <c r="D2530" s="22"/>
      <c r="E2530" s="20"/>
      <c r="F2530" s="20"/>
      <c r="G2530" s="20"/>
      <c r="H2530" s="27"/>
    </row>
    <row r="2531" spans="3:8" x14ac:dyDescent="0.15">
      <c r="C2531" s="26"/>
      <c r="D2531" s="22"/>
      <c r="E2531" s="20"/>
      <c r="F2531" s="20"/>
      <c r="G2531" s="20"/>
      <c r="H2531" s="27"/>
    </row>
    <row r="2532" spans="3:8" x14ac:dyDescent="0.15">
      <c r="C2532" s="26"/>
      <c r="D2532" s="22"/>
      <c r="E2532" s="20"/>
      <c r="F2532" s="20"/>
      <c r="G2532" s="20"/>
      <c r="H2532" s="27"/>
    </row>
    <row r="2533" spans="3:8" x14ac:dyDescent="0.15">
      <c r="C2533" s="26"/>
      <c r="D2533" s="22"/>
      <c r="E2533" s="20"/>
      <c r="F2533" s="20"/>
      <c r="G2533" s="20"/>
      <c r="H2533" s="27"/>
    </row>
    <row r="2534" spans="3:8" x14ac:dyDescent="0.15">
      <c r="C2534" s="26"/>
      <c r="D2534" s="22"/>
      <c r="E2534" s="20"/>
      <c r="F2534" s="20"/>
      <c r="G2534" s="20"/>
      <c r="H2534" s="27"/>
    </row>
    <row r="2535" spans="3:8" x14ac:dyDescent="0.15">
      <c r="C2535" s="26"/>
      <c r="D2535" s="22"/>
      <c r="E2535" s="20"/>
      <c r="F2535" s="20"/>
      <c r="G2535" s="20"/>
      <c r="H2535" s="27"/>
    </row>
    <row r="2536" spans="3:8" x14ac:dyDescent="0.15">
      <c r="C2536" s="26"/>
      <c r="D2536" s="22"/>
      <c r="E2536" s="20"/>
      <c r="F2536" s="20"/>
      <c r="G2536" s="20"/>
      <c r="H2536" s="27"/>
    </row>
    <row r="2537" spans="3:8" x14ac:dyDescent="0.15">
      <c r="C2537" s="26"/>
      <c r="D2537" s="22"/>
      <c r="E2537" s="20"/>
      <c r="F2537" s="20"/>
      <c r="G2537" s="20"/>
      <c r="H2537" s="27"/>
    </row>
    <row r="2538" spans="3:8" x14ac:dyDescent="0.15">
      <c r="C2538" s="26"/>
      <c r="D2538" s="22"/>
      <c r="E2538" s="20"/>
      <c r="F2538" s="20"/>
      <c r="G2538" s="20"/>
      <c r="H2538" s="27"/>
    </row>
    <row r="2539" spans="3:8" x14ac:dyDescent="0.15">
      <c r="C2539" s="26"/>
      <c r="D2539" s="22"/>
      <c r="E2539" s="20"/>
      <c r="F2539" s="20"/>
      <c r="G2539" s="20"/>
      <c r="H2539" s="27"/>
    </row>
    <row r="2540" spans="3:8" x14ac:dyDescent="0.15">
      <c r="C2540" s="26"/>
      <c r="D2540" s="22"/>
      <c r="E2540" s="20"/>
      <c r="F2540" s="20"/>
      <c r="G2540" s="20"/>
      <c r="H2540" s="27"/>
    </row>
    <row r="2541" spans="3:8" x14ac:dyDescent="0.15">
      <c r="C2541" s="26"/>
      <c r="D2541" s="22"/>
      <c r="E2541" s="20"/>
      <c r="F2541" s="20"/>
      <c r="G2541" s="20"/>
      <c r="H2541" s="27"/>
    </row>
    <row r="2542" spans="3:8" x14ac:dyDescent="0.15">
      <c r="C2542" s="26"/>
      <c r="D2542" s="22"/>
      <c r="E2542" s="20"/>
      <c r="F2542" s="20"/>
      <c r="G2542" s="20"/>
      <c r="H2542" s="27"/>
    </row>
    <row r="2543" spans="3:8" x14ac:dyDescent="0.15">
      <c r="C2543" s="26"/>
      <c r="D2543" s="22"/>
      <c r="E2543" s="20"/>
      <c r="F2543" s="20"/>
      <c r="G2543" s="20"/>
      <c r="H2543" s="27"/>
    </row>
    <row r="2544" spans="3:8" x14ac:dyDescent="0.15">
      <c r="C2544" s="26"/>
      <c r="D2544" s="22"/>
      <c r="E2544" s="20"/>
      <c r="F2544" s="20"/>
      <c r="G2544" s="20"/>
      <c r="H2544" s="27"/>
    </row>
    <row r="2545" spans="3:8" x14ac:dyDescent="0.15">
      <c r="C2545" s="26"/>
      <c r="D2545" s="22"/>
      <c r="E2545" s="20"/>
      <c r="F2545" s="20"/>
      <c r="G2545" s="20"/>
      <c r="H2545" s="27"/>
    </row>
    <row r="2546" spans="3:8" x14ac:dyDescent="0.15">
      <c r="C2546" s="26"/>
      <c r="D2546" s="22"/>
      <c r="E2546" s="20"/>
      <c r="F2546" s="20"/>
      <c r="G2546" s="20"/>
      <c r="H2546" s="27"/>
    </row>
    <row r="2547" spans="3:8" x14ac:dyDescent="0.15">
      <c r="C2547" s="26"/>
      <c r="D2547" s="22"/>
      <c r="E2547" s="20"/>
      <c r="F2547" s="20"/>
      <c r="G2547" s="20"/>
      <c r="H2547" s="27"/>
    </row>
    <row r="2548" spans="3:8" x14ac:dyDescent="0.15">
      <c r="C2548" s="26"/>
      <c r="D2548" s="22"/>
      <c r="E2548" s="20"/>
      <c r="F2548" s="20"/>
      <c r="G2548" s="20"/>
      <c r="H2548" s="27"/>
    </row>
    <row r="2549" spans="3:8" x14ac:dyDescent="0.15">
      <c r="C2549" s="26"/>
      <c r="D2549" s="22"/>
      <c r="E2549" s="20"/>
      <c r="F2549" s="20"/>
      <c r="G2549" s="20"/>
      <c r="H2549" s="27"/>
    </row>
    <row r="2550" spans="3:8" x14ac:dyDescent="0.15">
      <c r="C2550" s="26"/>
      <c r="D2550" s="22"/>
      <c r="E2550" s="20"/>
      <c r="F2550" s="20"/>
      <c r="G2550" s="20"/>
      <c r="H2550" s="27"/>
    </row>
    <row r="2551" spans="3:8" x14ac:dyDescent="0.15">
      <c r="C2551" s="26"/>
      <c r="D2551" s="22"/>
      <c r="E2551" s="20"/>
      <c r="F2551" s="20"/>
      <c r="G2551" s="20"/>
      <c r="H2551" s="27"/>
    </row>
    <row r="2552" spans="3:8" x14ac:dyDescent="0.15">
      <c r="C2552" s="26"/>
      <c r="D2552" s="22"/>
      <c r="E2552" s="20"/>
      <c r="F2552" s="20"/>
      <c r="G2552" s="20"/>
      <c r="H2552" s="27"/>
    </row>
    <row r="2553" spans="3:8" x14ac:dyDescent="0.15">
      <c r="C2553" s="26"/>
      <c r="D2553" s="22"/>
      <c r="E2553" s="20"/>
      <c r="F2553" s="20"/>
      <c r="G2553" s="20"/>
      <c r="H2553" s="27"/>
    </row>
    <row r="2554" spans="3:8" x14ac:dyDescent="0.15">
      <c r="C2554" s="26"/>
      <c r="D2554" s="22"/>
      <c r="E2554" s="20"/>
      <c r="F2554" s="20"/>
      <c r="G2554" s="20"/>
      <c r="H2554" s="27"/>
    </row>
    <row r="2555" spans="3:8" x14ac:dyDescent="0.15">
      <c r="C2555" s="26"/>
      <c r="D2555" s="22"/>
      <c r="E2555" s="20"/>
      <c r="F2555" s="20"/>
      <c r="G2555" s="20"/>
      <c r="H2555" s="27"/>
    </row>
    <row r="2556" spans="3:8" x14ac:dyDescent="0.15">
      <c r="C2556" s="26"/>
      <c r="D2556" s="22"/>
      <c r="E2556" s="20"/>
      <c r="F2556" s="20"/>
      <c r="G2556" s="20"/>
      <c r="H2556" s="27"/>
    </row>
    <row r="2557" spans="3:8" x14ac:dyDescent="0.15">
      <c r="C2557" s="26"/>
      <c r="D2557" s="22"/>
      <c r="E2557" s="20"/>
      <c r="F2557" s="20"/>
      <c r="G2557" s="20"/>
      <c r="H2557" s="27"/>
    </row>
    <row r="2558" spans="3:8" x14ac:dyDescent="0.15">
      <c r="C2558" s="26"/>
      <c r="D2558" s="22"/>
      <c r="E2558" s="20"/>
      <c r="F2558" s="20"/>
      <c r="G2558" s="20"/>
      <c r="H2558" s="27"/>
    </row>
    <row r="2559" spans="3:8" x14ac:dyDescent="0.15">
      <c r="C2559" s="26"/>
      <c r="D2559" s="22"/>
      <c r="E2559" s="20"/>
      <c r="F2559" s="20"/>
      <c r="G2559" s="20"/>
      <c r="H2559" s="27"/>
    </row>
    <row r="2560" spans="3:8" x14ac:dyDescent="0.15">
      <c r="C2560" s="26"/>
      <c r="D2560" s="22"/>
      <c r="E2560" s="20"/>
      <c r="F2560" s="20"/>
      <c r="G2560" s="20"/>
      <c r="H2560" s="27"/>
    </row>
    <row r="2561" spans="3:8" x14ac:dyDescent="0.15">
      <c r="C2561" s="26"/>
      <c r="D2561" s="22"/>
      <c r="E2561" s="20"/>
      <c r="F2561" s="20"/>
      <c r="G2561" s="20"/>
      <c r="H2561" s="27"/>
    </row>
    <row r="2562" spans="3:8" x14ac:dyDescent="0.15">
      <c r="C2562" s="26"/>
      <c r="D2562" s="22"/>
      <c r="E2562" s="20"/>
      <c r="F2562" s="20"/>
      <c r="G2562" s="20"/>
      <c r="H2562" s="27"/>
    </row>
    <row r="2563" spans="3:8" x14ac:dyDescent="0.15">
      <c r="C2563" s="26"/>
      <c r="D2563" s="22"/>
      <c r="E2563" s="20"/>
      <c r="F2563" s="20"/>
      <c r="G2563" s="20"/>
      <c r="H2563" s="27"/>
    </row>
    <row r="2564" spans="3:8" x14ac:dyDescent="0.15">
      <c r="C2564" s="26"/>
      <c r="D2564" s="22"/>
      <c r="E2564" s="20"/>
      <c r="F2564" s="20"/>
      <c r="G2564" s="20"/>
      <c r="H2564" s="27"/>
    </row>
    <row r="2565" spans="3:8" x14ac:dyDescent="0.15">
      <c r="C2565" s="26"/>
      <c r="D2565" s="22"/>
      <c r="E2565" s="20"/>
      <c r="F2565" s="20"/>
      <c r="G2565" s="20"/>
      <c r="H2565" s="27"/>
    </row>
    <row r="2566" spans="3:8" x14ac:dyDescent="0.15">
      <c r="C2566" s="26"/>
      <c r="D2566" s="22"/>
      <c r="E2566" s="20"/>
      <c r="F2566" s="20"/>
      <c r="G2566" s="20"/>
      <c r="H2566" s="27"/>
    </row>
    <row r="2567" spans="3:8" x14ac:dyDescent="0.15">
      <c r="C2567" s="26"/>
      <c r="D2567" s="22"/>
      <c r="E2567" s="20"/>
      <c r="F2567" s="20"/>
      <c r="G2567" s="20"/>
      <c r="H2567" s="27"/>
    </row>
    <row r="2568" spans="3:8" x14ac:dyDescent="0.15">
      <c r="C2568" s="26"/>
      <c r="D2568" s="22"/>
      <c r="E2568" s="20"/>
      <c r="F2568" s="20"/>
      <c r="G2568" s="20"/>
      <c r="H2568" s="27"/>
    </row>
    <row r="2569" spans="3:8" x14ac:dyDescent="0.15">
      <c r="C2569" s="26"/>
      <c r="D2569" s="22"/>
      <c r="E2569" s="20"/>
      <c r="F2569" s="20"/>
      <c r="G2569" s="20"/>
      <c r="H2569" s="27"/>
    </row>
    <row r="2570" spans="3:8" x14ac:dyDescent="0.15">
      <c r="C2570" s="26"/>
      <c r="D2570" s="22"/>
      <c r="E2570" s="20"/>
      <c r="F2570" s="20"/>
      <c r="G2570" s="20"/>
      <c r="H2570" s="27"/>
    </row>
    <row r="2571" spans="3:8" x14ac:dyDescent="0.15">
      <c r="C2571" s="26"/>
      <c r="D2571" s="22"/>
      <c r="E2571" s="20"/>
      <c r="F2571" s="20"/>
      <c r="G2571" s="20"/>
      <c r="H2571" s="27"/>
    </row>
    <row r="2572" spans="3:8" x14ac:dyDescent="0.15">
      <c r="C2572" s="26"/>
      <c r="D2572" s="22"/>
      <c r="E2572" s="20"/>
      <c r="F2572" s="20"/>
      <c r="G2572" s="20"/>
      <c r="H2572" s="27"/>
    </row>
    <row r="2573" spans="3:8" x14ac:dyDescent="0.15">
      <c r="C2573" s="26"/>
      <c r="D2573" s="22"/>
      <c r="E2573" s="20"/>
      <c r="F2573" s="20"/>
      <c r="G2573" s="20"/>
      <c r="H2573" s="27"/>
    </row>
    <row r="2574" spans="3:8" x14ac:dyDescent="0.15">
      <c r="C2574" s="26"/>
      <c r="D2574" s="22"/>
      <c r="E2574" s="20"/>
      <c r="F2574" s="20"/>
      <c r="G2574" s="20"/>
      <c r="H2574" s="27"/>
    </row>
    <row r="2575" spans="3:8" x14ac:dyDescent="0.15">
      <c r="C2575" s="26"/>
      <c r="D2575" s="22"/>
      <c r="E2575" s="20"/>
      <c r="F2575" s="20"/>
      <c r="G2575" s="20"/>
      <c r="H2575" s="27"/>
    </row>
    <row r="2576" spans="3:8" x14ac:dyDescent="0.15">
      <c r="C2576" s="26"/>
      <c r="D2576" s="22"/>
      <c r="E2576" s="20"/>
      <c r="F2576" s="20"/>
      <c r="G2576" s="20"/>
      <c r="H2576" s="27"/>
    </row>
    <row r="2577" spans="3:8" x14ac:dyDescent="0.15">
      <c r="C2577" s="26"/>
      <c r="D2577" s="22"/>
      <c r="E2577" s="20"/>
      <c r="F2577" s="20"/>
      <c r="G2577" s="20"/>
      <c r="H2577" s="27"/>
    </row>
    <row r="2578" spans="3:8" x14ac:dyDescent="0.15">
      <c r="C2578" s="26"/>
      <c r="D2578" s="22"/>
      <c r="E2578" s="20"/>
      <c r="F2578" s="20"/>
      <c r="G2578" s="20"/>
      <c r="H2578" s="27"/>
    </row>
    <row r="2579" spans="3:8" x14ac:dyDescent="0.15">
      <c r="C2579" s="26"/>
      <c r="D2579" s="22"/>
      <c r="E2579" s="20"/>
      <c r="F2579" s="20"/>
      <c r="G2579" s="20"/>
      <c r="H2579" s="27"/>
    </row>
    <row r="2580" spans="3:8" x14ac:dyDescent="0.15">
      <c r="C2580" s="26"/>
      <c r="D2580" s="22"/>
      <c r="E2580" s="20"/>
      <c r="F2580" s="20"/>
      <c r="G2580" s="20"/>
      <c r="H2580" s="27"/>
    </row>
    <row r="2581" spans="3:8" x14ac:dyDescent="0.15">
      <c r="C2581" s="26"/>
      <c r="D2581" s="22"/>
      <c r="E2581" s="20"/>
      <c r="F2581" s="20"/>
      <c r="G2581" s="20"/>
      <c r="H2581" s="27"/>
    </row>
    <row r="2582" spans="3:8" x14ac:dyDescent="0.15">
      <c r="C2582" s="26"/>
      <c r="D2582" s="22"/>
      <c r="E2582" s="20"/>
      <c r="F2582" s="20"/>
      <c r="G2582" s="20"/>
      <c r="H2582" s="27"/>
    </row>
    <row r="2583" spans="3:8" x14ac:dyDescent="0.15">
      <c r="C2583" s="26"/>
      <c r="D2583" s="22"/>
      <c r="E2583" s="20"/>
      <c r="F2583" s="20"/>
      <c r="G2583" s="20"/>
      <c r="H2583" s="27"/>
    </row>
    <row r="2584" spans="3:8" x14ac:dyDescent="0.15">
      <c r="C2584" s="26"/>
      <c r="D2584" s="22"/>
      <c r="E2584" s="20"/>
      <c r="F2584" s="20"/>
      <c r="G2584" s="20"/>
      <c r="H2584" s="27"/>
    </row>
    <row r="2585" spans="3:8" x14ac:dyDescent="0.15">
      <c r="C2585" s="26"/>
      <c r="D2585" s="22"/>
      <c r="E2585" s="20"/>
      <c r="F2585" s="20"/>
      <c r="G2585" s="20"/>
      <c r="H2585" s="27"/>
    </row>
    <row r="2586" spans="3:8" x14ac:dyDescent="0.15">
      <c r="C2586" s="26"/>
      <c r="D2586" s="22"/>
      <c r="E2586" s="20"/>
      <c r="F2586" s="20"/>
      <c r="G2586" s="20"/>
      <c r="H2586" s="27"/>
    </row>
    <row r="2587" spans="3:8" x14ac:dyDescent="0.15">
      <c r="C2587" s="26"/>
      <c r="D2587" s="22"/>
      <c r="E2587" s="20"/>
      <c r="F2587" s="20"/>
      <c r="G2587" s="20"/>
      <c r="H2587" s="27"/>
    </row>
    <row r="2588" spans="3:8" x14ac:dyDescent="0.15">
      <c r="C2588" s="26"/>
      <c r="D2588" s="22"/>
      <c r="E2588" s="20"/>
      <c r="F2588" s="20"/>
      <c r="G2588" s="20"/>
      <c r="H2588" s="27"/>
    </row>
    <row r="2589" spans="3:8" x14ac:dyDescent="0.15">
      <c r="C2589" s="26"/>
      <c r="D2589" s="22"/>
      <c r="E2589" s="20"/>
      <c r="F2589" s="20"/>
      <c r="G2589" s="20"/>
      <c r="H2589" s="27"/>
    </row>
    <row r="2590" spans="3:8" x14ac:dyDescent="0.15">
      <c r="C2590" s="26"/>
      <c r="D2590" s="22"/>
      <c r="E2590" s="20"/>
      <c r="F2590" s="20"/>
      <c r="G2590" s="20"/>
      <c r="H2590" s="27"/>
    </row>
    <row r="2591" spans="3:8" x14ac:dyDescent="0.15">
      <c r="C2591" s="26"/>
      <c r="D2591" s="22"/>
      <c r="E2591" s="20"/>
      <c r="F2591" s="20"/>
      <c r="G2591" s="20"/>
      <c r="H2591" s="27"/>
    </row>
    <row r="2592" spans="3:8" x14ac:dyDescent="0.15">
      <c r="C2592" s="26"/>
      <c r="D2592" s="22"/>
      <c r="E2592" s="20"/>
      <c r="F2592" s="20"/>
      <c r="G2592" s="20"/>
      <c r="H2592" s="27"/>
    </row>
    <row r="2593" spans="3:8" x14ac:dyDescent="0.15">
      <c r="C2593" s="26"/>
      <c r="D2593" s="22"/>
      <c r="E2593" s="20"/>
      <c r="F2593" s="20"/>
      <c r="G2593" s="20"/>
      <c r="H2593" s="27"/>
    </row>
    <row r="2594" spans="3:8" x14ac:dyDescent="0.15">
      <c r="C2594" s="26"/>
      <c r="D2594" s="22"/>
      <c r="E2594" s="20"/>
      <c r="F2594" s="20"/>
      <c r="G2594" s="20"/>
      <c r="H2594" s="27"/>
    </row>
    <row r="2595" spans="3:8" x14ac:dyDescent="0.15">
      <c r="C2595" s="26"/>
      <c r="D2595" s="22"/>
      <c r="E2595" s="20"/>
      <c r="F2595" s="20"/>
      <c r="G2595" s="20"/>
      <c r="H2595" s="27"/>
    </row>
    <row r="2596" spans="3:8" x14ac:dyDescent="0.15">
      <c r="C2596" s="26"/>
      <c r="D2596" s="22"/>
      <c r="E2596" s="20"/>
      <c r="F2596" s="20"/>
      <c r="G2596" s="20"/>
      <c r="H2596" s="27"/>
    </row>
    <row r="2597" spans="3:8" x14ac:dyDescent="0.15">
      <c r="C2597" s="26"/>
      <c r="D2597" s="22"/>
      <c r="E2597" s="20"/>
      <c r="F2597" s="20"/>
      <c r="G2597" s="20"/>
      <c r="H2597" s="27"/>
    </row>
    <row r="2598" spans="3:8" x14ac:dyDescent="0.15">
      <c r="C2598" s="26"/>
      <c r="D2598" s="22"/>
      <c r="E2598" s="20"/>
      <c r="F2598" s="20"/>
      <c r="G2598" s="20"/>
      <c r="H2598" s="27"/>
    </row>
    <row r="2599" spans="3:8" x14ac:dyDescent="0.15">
      <c r="C2599" s="26"/>
      <c r="D2599" s="22"/>
      <c r="E2599" s="20"/>
      <c r="F2599" s="20"/>
      <c r="G2599" s="20"/>
      <c r="H2599" s="27"/>
    </row>
    <row r="2600" spans="3:8" x14ac:dyDescent="0.15">
      <c r="C2600" s="26"/>
      <c r="D2600" s="22"/>
      <c r="E2600" s="20"/>
      <c r="F2600" s="20"/>
      <c r="G2600" s="20"/>
      <c r="H2600" s="27"/>
    </row>
    <row r="2601" spans="3:8" x14ac:dyDescent="0.15">
      <c r="C2601" s="26"/>
      <c r="D2601" s="22"/>
      <c r="E2601" s="20"/>
      <c r="F2601" s="20"/>
      <c r="G2601" s="20"/>
      <c r="H2601" s="27"/>
    </row>
    <row r="2602" spans="3:8" x14ac:dyDescent="0.15">
      <c r="C2602" s="26"/>
      <c r="D2602" s="22"/>
      <c r="E2602" s="20"/>
      <c r="F2602" s="20"/>
      <c r="G2602" s="20"/>
      <c r="H2602" s="27"/>
    </row>
    <row r="2603" spans="3:8" x14ac:dyDescent="0.15">
      <c r="C2603" s="26"/>
      <c r="D2603" s="22"/>
      <c r="E2603" s="20"/>
      <c r="F2603" s="20"/>
      <c r="G2603" s="20"/>
      <c r="H2603" s="27"/>
    </row>
    <row r="2604" spans="3:8" x14ac:dyDescent="0.15">
      <c r="C2604" s="26"/>
      <c r="D2604" s="22"/>
      <c r="E2604" s="20"/>
      <c r="F2604" s="20"/>
      <c r="G2604" s="20"/>
      <c r="H2604" s="27"/>
    </row>
    <row r="2605" spans="3:8" x14ac:dyDescent="0.15">
      <c r="C2605" s="26"/>
      <c r="D2605" s="22"/>
      <c r="E2605" s="20"/>
      <c r="F2605" s="20"/>
      <c r="G2605" s="20"/>
      <c r="H2605" s="27"/>
    </row>
    <row r="2606" spans="3:8" x14ac:dyDescent="0.15">
      <c r="C2606" s="26"/>
      <c r="D2606" s="22"/>
      <c r="E2606" s="20"/>
      <c r="F2606" s="20"/>
      <c r="G2606" s="20"/>
      <c r="H2606" s="27"/>
    </row>
    <row r="2607" spans="3:8" x14ac:dyDescent="0.15">
      <c r="C2607" s="26"/>
      <c r="D2607" s="22"/>
      <c r="E2607" s="20"/>
      <c r="F2607" s="20"/>
      <c r="G2607" s="20"/>
      <c r="H2607" s="27"/>
    </row>
    <row r="2608" spans="3:8" x14ac:dyDescent="0.15">
      <c r="C2608" s="26"/>
      <c r="D2608" s="22"/>
      <c r="E2608" s="20"/>
      <c r="F2608" s="20"/>
      <c r="G2608" s="20"/>
      <c r="H2608" s="27"/>
    </row>
    <row r="2609" spans="3:8" x14ac:dyDescent="0.15">
      <c r="C2609" s="26"/>
      <c r="D2609" s="22"/>
      <c r="E2609" s="20"/>
      <c r="F2609" s="20"/>
      <c r="G2609" s="20"/>
      <c r="H2609" s="27"/>
    </row>
    <row r="2610" spans="3:8" x14ac:dyDescent="0.15">
      <c r="C2610" s="26"/>
      <c r="D2610" s="22"/>
      <c r="E2610" s="20"/>
      <c r="F2610" s="20"/>
      <c r="G2610" s="20"/>
      <c r="H2610" s="27"/>
    </row>
    <row r="2611" spans="3:8" x14ac:dyDescent="0.15">
      <c r="C2611" s="26"/>
      <c r="D2611" s="22"/>
      <c r="E2611" s="20"/>
      <c r="F2611" s="20"/>
      <c r="G2611" s="20"/>
      <c r="H2611" s="27"/>
    </row>
    <row r="2612" spans="3:8" x14ac:dyDescent="0.15">
      <c r="C2612" s="26"/>
      <c r="D2612" s="22"/>
      <c r="E2612" s="20"/>
      <c r="F2612" s="20"/>
      <c r="G2612" s="20"/>
      <c r="H2612" s="27"/>
    </row>
    <row r="2613" spans="3:8" x14ac:dyDescent="0.15">
      <c r="C2613" s="26"/>
      <c r="D2613" s="22"/>
      <c r="E2613" s="20"/>
      <c r="F2613" s="20"/>
      <c r="G2613" s="20"/>
      <c r="H2613" s="27"/>
    </row>
    <row r="2614" spans="3:8" x14ac:dyDescent="0.15">
      <c r="C2614" s="26"/>
      <c r="D2614" s="22"/>
      <c r="E2614" s="20"/>
      <c r="F2614" s="20"/>
      <c r="G2614" s="20"/>
      <c r="H2614" s="27"/>
    </row>
    <row r="2615" spans="3:8" x14ac:dyDescent="0.15">
      <c r="C2615" s="26"/>
      <c r="D2615" s="22"/>
      <c r="E2615" s="20"/>
      <c r="F2615" s="20"/>
      <c r="G2615" s="20"/>
      <c r="H2615" s="27"/>
    </row>
    <row r="2616" spans="3:8" x14ac:dyDescent="0.15">
      <c r="C2616" s="26"/>
      <c r="D2616" s="22"/>
      <c r="E2616" s="20"/>
      <c r="F2616" s="20"/>
      <c r="G2616" s="20"/>
      <c r="H2616" s="27"/>
    </row>
    <row r="2617" spans="3:8" x14ac:dyDescent="0.15">
      <c r="C2617" s="26"/>
      <c r="D2617" s="22"/>
      <c r="E2617" s="20"/>
      <c r="F2617" s="20"/>
      <c r="G2617" s="20"/>
      <c r="H2617" s="27"/>
    </row>
    <row r="2618" spans="3:8" x14ac:dyDescent="0.15">
      <c r="C2618" s="26"/>
      <c r="D2618" s="22"/>
      <c r="E2618" s="20"/>
      <c r="F2618" s="20"/>
      <c r="G2618" s="20"/>
      <c r="H2618" s="27"/>
    </row>
    <row r="2619" spans="3:8" x14ac:dyDescent="0.15">
      <c r="C2619" s="26"/>
      <c r="D2619" s="22"/>
      <c r="E2619" s="20"/>
      <c r="F2619" s="20"/>
      <c r="G2619" s="20"/>
      <c r="H2619" s="27"/>
    </row>
    <row r="2620" spans="3:8" x14ac:dyDescent="0.15">
      <c r="C2620" s="26"/>
      <c r="D2620" s="22"/>
      <c r="E2620" s="20"/>
      <c r="F2620" s="20"/>
      <c r="G2620" s="20"/>
      <c r="H2620" s="27"/>
    </row>
    <row r="2621" spans="3:8" x14ac:dyDescent="0.15">
      <c r="C2621" s="26"/>
      <c r="D2621" s="22"/>
      <c r="E2621" s="20"/>
      <c r="F2621" s="20"/>
      <c r="G2621" s="20"/>
      <c r="H2621" s="27"/>
    </row>
    <row r="2622" spans="3:8" x14ac:dyDescent="0.15">
      <c r="C2622" s="26"/>
      <c r="D2622" s="22"/>
      <c r="E2622" s="20"/>
      <c r="F2622" s="20"/>
      <c r="G2622" s="20"/>
      <c r="H2622" s="27"/>
    </row>
    <row r="2623" spans="3:8" x14ac:dyDescent="0.15">
      <c r="C2623" s="26"/>
      <c r="D2623" s="22"/>
      <c r="E2623" s="20"/>
      <c r="F2623" s="20"/>
      <c r="G2623" s="20"/>
      <c r="H2623" s="27"/>
    </row>
    <row r="2624" spans="3:8" x14ac:dyDescent="0.15">
      <c r="C2624" s="26"/>
      <c r="D2624" s="22"/>
      <c r="E2624" s="20"/>
      <c r="F2624" s="20"/>
      <c r="G2624" s="20"/>
      <c r="H2624" s="27"/>
    </row>
    <row r="2625" spans="3:8" x14ac:dyDescent="0.15">
      <c r="C2625" s="26"/>
      <c r="D2625" s="22"/>
      <c r="E2625" s="20"/>
      <c r="F2625" s="20"/>
      <c r="G2625" s="20"/>
      <c r="H2625" s="27"/>
    </row>
    <row r="2626" spans="3:8" x14ac:dyDescent="0.15">
      <c r="C2626" s="26"/>
      <c r="D2626" s="22"/>
      <c r="E2626" s="20"/>
      <c r="F2626" s="20"/>
      <c r="G2626" s="20"/>
      <c r="H2626" s="27"/>
    </row>
    <row r="2627" spans="3:8" x14ac:dyDescent="0.15">
      <c r="C2627" s="26"/>
      <c r="D2627" s="22"/>
      <c r="E2627" s="20"/>
      <c r="F2627" s="20"/>
      <c r="G2627" s="20"/>
      <c r="H2627" s="27"/>
    </row>
    <row r="2628" spans="3:8" x14ac:dyDescent="0.15">
      <c r="C2628" s="26"/>
      <c r="D2628" s="22"/>
      <c r="E2628" s="20"/>
      <c r="F2628" s="20"/>
      <c r="G2628" s="20"/>
      <c r="H2628" s="27"/>
    </row>
    <row r="2629" spans="3:8" x14ac:dyDescent="0.15">
      <c r="C2629" s="26"/>
      <c r="D2629" s="22"/>
      <c r="E2629" s="20"/>
      <c r="F2629" s="20"/>
      <c r="G2629" s="20"/>
      <c r="H2629" s="27"/>
    </row>
    <row r="2630" spans="3:8" x14ac:dyDescent="0.15">
      <c r="C2630" s="26"/>
      <c r="D2630" s="22"/>
      <c r="E2630" s="20"/>
      <c r="F2630" s="20"/>
      <c r="G2630" s="20"/>
      <c r="H2630" s="27"/>
    </row>
    <row r="2631" spans="3:8" x14ac:dyDescent="0.15">
      <c r="C2631" s="26"/>
      <c r="D2631" s="22"/>
      <c r="E2631" s="20"/>
      <c r="F2631" s="20"/>
      <c r="G2631" s="20"/>
      <c r="H2631" s="27"/>
    </row>
    <row r="2632" spans="3:8" x14ac:dyDescent="0.15">
      <c r="C2632" s="26"/>
      <c r="D2632" s="22"/>
      <c r="E2632" s="20"/>
      <c r="F2632" s="20"/>
      <c r="G2632" s="20"/>
      <c r="H2632" s="27"/>
    </row>
    <row r="2633" spans="3:8" x14ac:dyDescent="0.15">
      <c r="C2633" s="26"/>
      <c r="D2633" s="22"/>
      <c r="E2633" s="20"/>
      <c r="F2633" s="20"/>
      <c r="G2633" s="20"/>
      <c r="H2633" s="27"/>
    </row>
    <row r="2634" spans="3:8" x14ac:dyDescent="0.15">
      <c r="C2634" s="26"/>
      <c r="D2634" s="22"/>
      <c r="E2634" s="20"/>
      <c r="F2634" s="20"/>
      <c r="G2634" s="20"/>
      <c r="H2634" s="27"/>
    </row>
    <row r="2635" spans="3:8" x14ac:dyDescent="0.15">
      <c r="C2635" s="26"/>
      <c r="D2635" s="22"/>
      <c r="E2635" s="20"/>
      <c r="F2635" s="20"/>
      <c r="G2635" s="20"/>
      <c r="H2635" s="27"/>
    </row>
    <row r="2636" spans="3:8" x14ac:dyDescent="0.15">
      <c r="C2636" s="26"/>
      <c r="D2636" s="22"/>
      <c r="E2636" s="20"/>
      <c r="F2636" s="20"/>
      <c r="G2636" s="20"/>
      <c r="H2636" s="27"/>
    </row>
    <row r="2637" spans="3:8" x14ac:dyDescent="0.15">
      <c r="C2637" s="26"/>
      <c r="D2637" s="22"/>
      <c r="E2637" s="20"/>
      <c r="F2637" s="20"/>
      <c r="G2637" s="20"/>
      <c r="H2637" s="27"/>
    </row>
    <row r="2638" spans="3:8" x14ac:dyDescent="0.15">
      <c r="C2638" s="26"/>
      <c r="D2638" s="22"/>
      <c r="E2638" s="20"/>
      <c r="F2638" s="20"/>
      <c r="G2638" s="20"/>
      <c r="H2638" s="27"/>
    </row>
    <row r="2639" spans="3:8" x14ac:dyDescent="0.15">
      <c r="C2639" s="26"/>
      <c r="D2639" s="22"/>
      <c r="E2639" s="20"/>
      <c r="F2639" s="20"/>
      <c r="G2639" s="20"/>
      <c r="H2639" s="27"/>
    </row>
    <row r="2640" spans="3:8" x14ac:dyDescent="0.15">
      <c r="C2640" s="26"/>
      <c r="D2640" s="22"/>
      <c r="E2640" s="20"/>
      <c r="F2640" s="20"/>
      <c r="G2640" s="20"/>
      <c r="H2640" s="27"/>
    </row>
    <row r="2641" spans="3:8" x14ac:dyDescent="0.15">
      <c r="C2641" s="26"/>
      <c r="D2641" s="22"/>
      <c r="E2641" s="20"/>
      <c r="F2641" s="20"/>
      <c r="G2641" s="20"/>
      <c r="H2641" s="27"/>
    </row>
    <row r="2642" spans="3:8" x14ac:dyDescent="0.15">
      <c r="C2642" s="26"/>
      <c r="D2642" s="22"/>
      <c r="E2642" s="20"/>
      <c r="F2642" s="20"/>
      <c r="G2642" s="20"/>
      <c r="H2642" s="27"/>
    </row>
    <row r="2643" spans="3:8" x14ac:dyDescent="0.15">
      <c r="C2643" s="26"/>
      <c r="D2643" s="22"/>
      <c r="E2643" s="20"/>
      <c r="F2643" s="20"/>
      <c r="G2643" s="20"/>
      <c r="H2643" s="27"/>
    </row>
    <row r="2644" spans="3:8" x14ac:dyDescent="0.15">
      <c r="C2644" s="26"/>
      <c r="D2644" s="22"/>
      <c r="E2644" s="20"/>
      <c r="F2644" s="20"/>
      <c r="G2644" s="20"/>
      <c r="H2644" s="27"/>
    </row>
    <row r="2645" spans="3:8" x14ac:dyDescent="0.15">
      <c r="C2645" s="26"/>
      <c r="D2645" s="22"/>
      <c r="E2645" s="20"/>
      <c r="F2645" s="20"/>
      <c r="G2645" s="20"/>
      <c r="H2645" s="27"/>
    </row>
    <row r="2646" spans="3:8" x14ac:dyDescent="0.15">
      <c r="C2646" s="26"/>
      <c r="D2646" s="22"/>
      <c r="E2646" s="20"/>
      <c r="F2646" s="20"/>
      <c r="G2646" s="20"/>
      <c r="H2646" s="27"/>
    </row>
    <row r="2647" spans="3:8" x14ac:dyDescent="0.15">
      <c r="C2647" s="26"/>
      <c r="D2647" s="22"/>
      <c r="E2647" s="20"/>
      <c r="F2647" s="20"/>
      <c r="G2647" s="20"/>
      <c r="H2647" s="27"/>
    </row>
    <row r="2648" spans="3:8" x14ac:dyDescent="0.15">
      <c r="C2648" s="26"/>
      <c r="D2648" s="22"/>
      <c r="E2648" s="20"/>
      <c r="F2648" s="20"/>
      <c r="G2648" s="20"/>
      <c r="H2648" s="27"/>
    </row>
    <row r="2649" spans="3:8" x14ac:dyDescent="0.15">
      <c r="C2649" s="26"/>
      <c r="D2649" s="22"/>
      <c r="E2649" s="20"/>
      <c r="F2649" s="20"/>
      <c r="G2649" s="20"/>
      <c r="H2649" s="27"/>
    </row>
    <row r="2650" spans="3:8" x14ac:dyDescent="0.15">
      <c r="C2650" s="26"/>
      <c r="D2650" s="22"/>
      <c r="E2650" s="20"/>
      <c r="F2650" s="20"/>
      <c r="G2650" s="20"/>
      <c r="H2650" s="27"/>
    </row>
    <row r="2651" spans="3:8" x14ac:dyDescent="0.15">
      <c r="C2651" s="26"/>
      <c r="D2651" s="22"/>
      <c r="E2651" s="20"/>
      <c r="F2651" s="20"/>
      <c r="G2651" s="20"/>
      <c r="H2651" s="27"/>
    </row>
    <row r="2652" spans="3:8" x14ac:dyDescent="0.15">
      <c r="C2652" s="26"/>
      <c r="D2652" s="22"/>
      <c r="E2652" s="20"/>
      <c r="F2652" s="20"/>
      <c r="G2652" s="20"/>
      <c r="H2652" s="27"/>
    </row>
    <row r="2653" spans="3:8" x14ac:dyDescent="0.15">
      <c r="C2653" s="26"/>
      <c r="D2653" s="22"/>
      <c r="E2653" s="20"/>
      <c r="F2653" s="20"/>
      <c r="G2653" s="20"/>
      <c r="H2653" s="27"/>
    </row>
    <row r="2654" spans="3:8" x14ac:dyDescent="0.15">
      <c r="C2654" s="26"/>
      <c r="D2654" s="22"/>
      <c r="E2654" s="20"/>
      <c r="F2654" s="20"/>
      <c r="G2654" s="20"/>
      <c r="H2654" s="27"/>
    </row>
    <row r="2655" spans="3:8" x14ac:dyDescent="0.15">
      <c r="C2655" s="26"/>
      <c r="D2655" s="22"/>
      <c r="E2655" s="20"/>
      <c r="F2655" s="20"/>
      <c r="G2655" s="20"/>
      <c r="H2655" s="27"/>
    </row>
    <row r="2656" spans="3:8" x14ac:dyDescent="0.15">
      <c r="C2656" s="26"/>
      <c r="D2656" s="22"/>
      <c r="E2656" s="20"/>
      <c r="F2656" s="20"/>
      <c r="G2656" s="20"/>
      <c r="H2656" s="27"/>
    </row>
    <row r="2657" spans="3:8" x14ac:dyDescent="0.15">
      <c r="C2657" s="26"/>
      <c r="D2657" s="22"/>
      <c r="E2657" s="20"/>
      <c r="F2657" s="20"/>
      <c r="G2657" s="20"/>
      <c r="H2657" s="27"/>
    </row>
    <row r="2658" spans="3:8" x14ac:dyDescent="0.15">
      <c r="C2658" s="26"/>
      <c r="D2658" s="22"/>
      <c r="E2658" s="20"/>
      <c r="F2658" s="20"/>
      <c r="G2658" s="20"/>
      <c r="H2658" s="27"/>
    </row>
    <row r="2659" spans="3:8" x14ac:dyDescent="0.15">
      <c r="C2659" s="26"/>
      <c r="D2659" s="22"/>
      <c r="E2659" s="20"/>
      <c r="F2659" s="20"/>
      <c r="G2659" s="20"/>
      <c r="H2659" s="27"/>
    </row>
    <row r="2660" spans="3:8" x14ac:dyDescent="0.15">
      <c r="C2660" s="26"/>
      <c r="D2660" s="22"/>
      <c r="E2660" s="20"/>
      <c r="F2660" s="20"/>
      <c r="G2660" s="20"/>
      <c r="H2660" s="27"/>
    </row>
    <row r="2661" spans="3:8" x14ac:dyDescent="0.15">
      <c r="C2661" s="26"/>
      <c r="D2661" s="22"/>
      <c r="E2661" s="20"/>
      <c r="F2661" s="20"/>
      <c r="G2661" s="20"/>
      <c r="H2661" s="27"/>
    </row>
    <row r="2662" spans="3:8" x14ac:dyDescent="0.15">
      <c r="C2662" s="26"/>
      <c r="D2662" s="22"/>
      <c r="E2662" s="20"/>
      <c r="F2662" s="20"/>
      <c r="G2662" s="20"/>
      <c r="H2662" s="27"/>
    </row>
    <row r="2663" spans="3:8" x14ac:dyDescent="0.15">
      <c r="C2663" s="26"/>
      <c r="D2663" s="22"/>
      <c r="E2663" s="20"/>
      <c r="F2663" s="20"/>
      <c r="G2663" s="20"/>
      <c r="H2663" s="27"/>
    </row>
    <row r="2664" spans="3:8" x14ac:dyDescent="0.15">
      <c r="C2664" s="26"/>
      <c r="D2664" s="22"/>
      <c r="E2664" s="20"/>
      <c r="F2664" s="20"/>
      <c r="G2664" s="20"/>
      <c r="H2664" s="27"/>
    </row>
    <row r="2665" spans="3:8" x14ac:dyDescent="0.15">
      <c r="C2665" s="26"/>
      <c r="D2665" s="22"/>
      <c r="E2665" s="20"/>
      <c r="F2665" s="20"/>
      <c r="G2665" s="20"/>
      <c r="H2665" s="27"/>
    </row>
    <row r="2666" spans="3:8" x14ac:dyDescent="0.15">
      <c r="C2666" s="26"/>
      <c r="D2666" s="22"/>
      <c r="E2666" s="20"/>
      <c r="F2666" s="20"/>
      <c r="G2666" s="20"/>
      <c r="H2666" s="27"/>
    </row>
    <row r="2667" spans="3:8" x14ac:dyDescent="0.15">
      <c r="C2667" s="26"/>
      <c r="D2667" s="22"/>
      <c r="E2667" s="20"/>
      <c r="F2667" s="20"/>
      <c r="G2667" s="20"/>
      <c r="H2667" s="27"/>
    </row>
    <row r="2668" spans="3:8" x14ac:dyDescent="0.15">
      <c r="C2668" s="26"/>
      <c r="D2668" s="22"/>
      <c r="E2668" s="20"/>
      <c r="F2668" s="20"/>
      <c r="G2668" s="20"/>
      <c r="H2668" s="27"/>
    </row>
    <row r="2669" spans="3:8" x14ac:dyDescent="0.15">
      <c r="C2669" s="26"/>
      <c r="D2669" s="22"/>
      <c r="E2669" s="20"/>
      <c r="F2669" s="20"/>
      <c r="G2669" s="20"/>
      <c r="H2669" s="27"/>
    </row>
    <row r="2670" spans="3:8" x14ac:dyDescent="0.15">
      <c r="C2670" s="26"/>
      <c r="D2670" s="22"/>
      <c r="E2670" s="20"/>
      <c r="F2670" s="20"/>
      <c r="G2670" s="20"/>
      <c r="H2670" s="27"/>
    </row>
    <row r="2671" spans="3:8" x14ac:dyDescent="0.15">
      <c r="C2671" s="26"/>
      <c r="D2671" s="22"/>
      <c r="E2671" s="20"/>
      <c r="F2671" s="20"/>
      <c r="G2671" s="20"/>
      <c r="H2671" s="27"/>
    </row>
    <row r="2672" spans="3:8" x14ac:dyDescent="0.15">
      <c r="C2672" s="26"/>
      <c r="D2672" s="22"/>
      <c r="E2672" s="20"/>
      <c r="F2672" s="20"/>
      <c r="G2672" s="20"/>
      <c r="H2672" s="27"/>
    </row>
    <row r="2673" spans="3:8" x14ac:dyDescent="0.15">
      <c r="C2673" s="26"/>
      <c r="D2673" s="22"/>
      <c r="E2673" s="20"/>
      <c r="F2673" s="20"/>
      <c r="G2673" s="20"/>
      <c r="H2673" s="27"/>
    </row>
    <row r="2674" spans="3:8" x14ac:dyDescent="0.15">
      <c r="C2674" s="26"/>
      <c r="D2674" s="22"/>
      <c r="E2674" s="20"/>
      <c r="F2674" s="20"/>
      <c r="G2674" s="20"/>
      <c r="H2674" s="27"/>
    </row>
    <row r="2675" spans="3:8" x14ac:dyDescent="0.15">
      <c r="C2675" s="26"/>
      <c r="D2675" s="22"/>
      <c r="E2675" s="20"/>
      <c r="F2675" s="20"/>
      <c r="G2675" s="20"/>
      <c r="H2675" s="27"/>
    </row>
    <row r="2676" spans="3:8" x14ac:dyDescent="0.15">
      <c r="C2676" s="26"/>
      <c r="D2676" s="22"/>
      <c r="E2676" s="20"/>
      <c r="F2676" s="20"/>
      <c r="G2676" s="20"/>
      <c r="H2676" s="27"/>
    </row>
    <row r="2677" spans="3:8" x14ac:dyDescent="0.15">
      <c r="C2677" s="26"/>
      <c r="D2677" s="22"/>
      <c r="E2677" s="20"/>
      <c r="F2677" s="20"/>
      <c r="G2677" s="20"/>
      <c r="H2677" s="27"/>
    </row>
    <row r="2678" spans="3:8" x14ac:dyDescent="0.15">
      <c r="C2678" s="26"/>
      <c r="D2678" s="22"/>
      <c r="E2678" s="20"/>
      <c r="F2678" s="20"/>
      <c r="G2678" s="20"/>
      <c r="H2678" s="27"/>
    </row>
    <row r="2679" spans="3:8" x14ac:dyDescent="0.15">
      <c r="C2679" s="26"/>
      <c r="D2679" s="22"/>
      <c r="E2679" s="20"/>
      <c r="F2679" s="20"/>
      <c r="G2679" s="20"/>
      <c r="H2679" s="27"/>
    </row>
    <row r="2680" spans="3:8" x14ac:dyDescent="0.15">
      <c r="C2680" s="26"/>
      <c r="D2680" s="22"/>
      <c r="E2680" s="20"/>
      <c r="F2680" s="20"/>
      <c r="G2680" s="20"/>
      <c r="H2680" s="27"/>
    </row>
    <row r="2681" spans="3:8" x14ac:dyDescent="0.15">
      <c r="C2681" s="26"/>
      <c r="D2681" s="22"/>
      <c r="E2681" s="20"/>
      <c r="F2681" s="20"/>
      <c r="G2681" s="20"/>
      <c r="H2681" s="27"/>
    </row>
    <row r="2682" spans="3:8" x14ac:dyDescent="0.15">
      <c r="C2682" s="26"/>
      <c r="D2682" s="22"/>
      <c r="E2682" s="20"/>
      <c r="F2682" s="20"/>
      <c r="G2682" s="20"/>
      <c r="H2682" s="27"/>
    </row>
    <row r="2683" spans="3:8" x14ac:dyDescent="0.15">
      <c r="C2683" s="26"/>
      <c r="D2683" s="22"/>
      <c r="E2683" s="20"/>
      <c r="F2683" s="20"/>
      <c r="G2683" s="20"/>
      <c r="H2683" s="27"/>
    </row>
    <row r="2684" spans="3:8" x14ac:dyDescent="0.15">
      <c r="C2684" s="26"/>
      <c r="D2684" s="22"/>
      <c r="E2684" s="20"/>
      <c r="F2684" s="20"/>
      <c r="G2684" s="20"/>
      <c r="H2684" s="27"/>
    </row>
    <row r="2685" spans="3:8" x14ac:dyDescent="0.15">
      <c r="C2685" s="26"/>
      <c r="D2685" s="22"/>
      <c r="E2685" s="20"/>
      <c r="F2685" s="20"/>
      <c r="G2685" s="20"/>
      <c r="H2685" s="27"/>
    </row>
    <row r="2686" spans="3:8" x14ac:dyDescent="0.15">
      <c r="C2686" s="26"/>
      <c r="D2686" s="22"/>
      <c r="E2686" s="20"/>
      <c r="F2686" s="20"/>
      <c r="G2686" s="20"/>
      <c r="H2686" s="27"/>
    </row>
    <row r="2687" spans="3:8" x14ac:dyDescent="0.15">
      <c r="C2687" s="26"/>
      <c r="D2687" s="22"/>
      <c r="E2687" s="20"/>
      <c r="F2687" s="20"/>
      <c r="G2687" s="20"/>
      <c r="H2687" s="27"/>
    </row>
    <row r="2688" spans="3:8" x14ac:dyDescent="0.15">
      <c r="C2688" s="26"/>
      <c r="D2688" s="22"/>
      <c r="E2688" s="20"/>
      <c r="F2688" s="20"/>
      <c r="G2688" s="20"/>
      <c r="H2688" s="27"/>
    </row>
    <row r="2689" spans="3:8" x14ac:dyDescent="0.15">
      <c r="C2689" s="26"/>
      <c r="D2689" s="22"/>
      <c r="E2689" s="20"/>
      <c r="F2689" s="20"/>
      <c r="G2689" s="20"/>
      <c r="H2689" s="27"/>
    </row>
    <row r="2690" spans="3:8" x14ac:dyDescent="0.15">
      <c r="C2690" s="26"/>
      <c r="D2690" s="22"/>
      <c r="E2690" s="20"/>
      <c r="F2690" s="20"/>
      <c r="G2690" s="20"/>
      <c r="H2690" s="27"/>
    </row>
    <row r="2691" spans="3:8" x14ac:dyDescent="0.15">
      <c r="C2691" s="26"/>
      <c r="D2691" s="22"/>
      <c r="E2691" s="20"/>
      <c r="F2691" s="20"/>
      <c r="G2691" s="20"/>
      <c r="H2691" s="27"/>
    </row>
    <row r="2692" spans="3:8" x14ac:dyDescent="0.15">
      <c r="C2692" s="26"/>
      <c r="D2692" s="22"/>
      <c r="E2692" s="20"/>
      <c r="F2692" s="20"/>
      <c r="G2692" s="20"/>
      <c r="H2692" s="27"/>
    </row>
    <row r="2693" spans="3:8" x14ac:dyDescent="0.15">
      <c r="C2693" s="26"/>
      <c r="D2693" s="22"/>
      <c r="E2693" s="20"/>
      <c r="F2693" s="20"/>
      <c r="G2693" s="20"/>
      <c r="H2693" s="27"/>
    </row>
    <row r="2694" spans="3:8" x14ac:dyDescent="0.15">
      <c r="C2694" s="26"/>
      <c r="D2694" s="22"/>
      <c r="E2694" s="20"/>
      <c r="F2694" s="20"/>
      <c r="G2694" s="20"/>
      <c r="H2694" s="27"/>
    </row>
    <row r="2695" spans="3:8" x14ac:dyDescent="0.15">
      <c r="C2695" s="26"/>
      <c r="D2695" s="22"/>
      <c r="E2695" s="20"/>
      <c r="F2695" s="20"/>
      <c r="G2695" s="20"/>
      <c r="H2695" s="27"/>
    </row>
    <row r="2696" spans="3:8" x14ac:dyDescent="0.15">
      <c r="C2696" s="26"/>
      <c r="D2696" s="22"/>
      <c r="E2696" s="20"/>
      <c r="F2696" s="20"/>
      <c r="G2696" s="20"/>
      <c r="H2696" s="27"/>
    </row>
    <row r="2697" spans="3:8" x14ac:dyDescent="0.15">
      <c r="C2697" s="26"/>
      <c r="D2697" s="22"/>
      <c r="E2697" s="20"/>
      <c r="F2697" s="20"/>
      <c r="G2697" s="20"/>
      <c r="H2697" s="27"/>
    </row>
    <row r="2698" spans="3:8" x14ac:dyDescent="0.15">
      <c r="C2698" s="26"/>
      <c r="D2698" s="22"/>
      <c r="E2698" s="20"/>
      <c r="F2698" s="20"/>
      <c r="G2698" s="20"/>
      <c r="H2698" s="27"/>
    </row>
    <row r="2699" spans="3:8" x14ac:dyDescent="0.15">
      <c r="C2699" s="26"/>
      <c r="D2699" s="22"/>
      <c r="E2699" s="20"/>
      <c r="F2699" s="20"/>
      <c r="G2699" s="20"/>
      <c r="H2699" s="27"/>
    </row>
    <row r="2700" spans="3:8" x14ac:dyDescent="0.15">
      <c r="C2700" s="26"/>
      <c r="D2700" s="22"/>
      <c r="E2700" s="20"/>
      <c r="F2700" s="20"/>
      <c r="G2700" s="20"/>
      <c r="H2700" s="27"/>
    </row>
    <row r="2701" spans="3:8" x14ac:dyDescent="0.15">
      <c r="C2701" s="26"/>
      <c r="D2701" s="22"/>
      <c r="E2701" s="20"/>
      <c r="F2701" s="20"/>
      <c r="G2701" s="20"/>
      <c r="H2701" s="27"/>
    </row>
    <row r="2702" spans="3:8" x14ac:dyDescent="0.15">
      <c r="C2702" s="26"/>
      <c r="D2702" s="22"/>
      <c r="E2702" s="20"/>
      <c r="F2702" s="20"/>
      <c r="G2702" s="20"/>
      <c r="H2702" s="27"/>
    </row>
    <row r="2703" spans="3:8" x14ac:dyDescent="0.15">
      <c r="C2703" s="26"/>
      <c r="D2703" s="22"/>
      <c r="E2703" s="20"/>
      <c r="F2703" s="20"/>
      <c r="G2703" s="20"/>
      <c r="H2703" s="27"/>
    </row>
    <row r="2704" spans="3:8" x14ac:dyDescent="0.15">
      <c r="C2704" s="26"/>
      <c r="D2704" s="22"/>
      <c r="E2704" s="20"/>
      <c r="F2704" s="20"/>
      <c r="G2704" s="20"/>
      <c r="H2704" s="27"/>
    </row>
    <row r="2705" spans="3:8" x14ac:dyDescent="0.15">
      <c r="C2705" s="26"/>
      <c r="D2705" s="22"/>
      <c r="E2705" s="20"/>
      <c r="F2705" s="20"/>
      <c r="G2705" s="20"/>
      <c r="H2705" s="27"/>
    </row>
    <row r="2706" spans="3:8" x14ac:dyDescent="0.15">
      <c r="C2706" s="26"/>
      <c r="D2706" s="22"/>
      <c r="E2706" s="20"/>
      <c r="F2706" s="20"/>
      <c r="G2706" s="20"/>
      <c r="H2706" s="27"/>
    </row>
    <row r="2707" spans="3:8" x14ac:dyDescent="0.15">
      <c r="C2707" s="26"/>
      <c r="D2707" s="22"/>
      <c r="E2707" s="20"/>
      <c r="F2707" s="20"/>
      <c r="G2707" s="20"/>
      <c r="H2707" s="27"/>
    </row>
    <row r="2708" spans="3:8" x14ac:dyDescent="0.15">
      <c r="C2708" s="26"/>
      <c r="D2708" s="22"/>
      <c r="E2708" s="20"/>
      <c r="F2708" s="20"/>
      <c r="G2708" s="20"/>
      <c r="H2708" s="27"/>
    </row>
    <row r="2709" spans="3:8" x14ac:dyDescent="0.15">
      <c r="C2709" s="26"/>
      <c r="D2709" s="22"/>
      <c r="E2709" s="20"/>
      <c r="F2709" s="20"/>
      <c r="G2709" s="20"/>
      <c r="H2709" s="27"/>
    </row>
    <row r="2710" spans="3:8" x14ac:dyDescent="0.15">
      <c r="C2710" s="26"/>
      <c r="D2710" s="22"/>
      <c r="E2710" s="20"/>
      <c r="F2710" s="20"/>
      <c r="G2710" s="20"/>
      <c r="H2710" s="27"/>
    </row>
    <row r="2711" spans="3:8" x14ac:dyDescent="0.15">
      <c r="C2711" s="26"/>
      <c r="D2711" s="22"/>
      <c r="E2711" s="20"/>
      <c r="F2711" s="20"/>
      <c r="G2711" s="20"/>
      <c r="H2711" s="27"/>
    </row>
    <row r="2712" spans="3:8" x14ac:dyDescent="0.15">
      <c r="C2712" s="26"/>
      <c r="D2712" s="22"/>
      <c r="E2712" s="20"/>
      <c r="F2712" s="20"/>
      <c r="G2712" s="20"/>
      <c r="H2712" s="27"/>
    </row>
    <row r="2713" spans="3:8" x14ac:dyDescent="0.15">
      <c r="C2713" s="26"/>
      <c r="D2713" s="22"/>
      <c r="E2713" s="20"/>
      <c r="F2713" s="20"/>
      <c r="G2713" s="20"/>
      <c r="H2713" s="27"/>
    </row>
    <row r="2714" spans="3:8" x14ac:dyDescent="0.15">
      <c r="C2714" s="26"/>
      <c r="D2714" s="22"/>
      <c r="E2714" s="20"/>
      <c r="F2714" s="20"/>
      <c r="G2714" s="20"/>
      <c r="H2714" s="27"/>
    </row>
    <row r="2715" spans="3:8" x14ac:dyDescent="0.15">
      <c r="C2715" s="26"/>
      <c r="D2715" s="22"/>
      <c r="E2715" s="20"/>
      <c r="F2715" s="20"/>
      <c r="G2715" s="20"/>
      <c r="H2715" s="27"/>
    </row>
    <row r="2716" spans="3:8" x14ac:dyDescent="0.15">
      <c r="C2716" s="26"/>
      <c r="D2716" s="22"/>
      <c r="E2716" s="20"/>
      <c r="F2716" s="20"/>
      <c r="G2716" s="20"/>
      <c r="H2716" s="27"/>
    </row>
    <row r="2717" spans="3:8" x14ac:dyDescent="0.15">
      <c r="C2717" s="26"/>
      <c r="D2717" s="22"/>
      <c r="E2717" s="20"/>
      <c r="F2717" s="20"/>
      <c r="G2717" s="20"/>
      <c r="H2717" s="27"/>
    </row>
    <row r="2718" spans="3:8" x14ac:dyDescent="0.15">
      <c r="C2718" s="26"/>
      <c r="D2718" s="22"/>
      <c r="E2718" s="20"/>
      <c r="F2718" s="20"/>
      <c r="G2718" s="20"/>
      <c r="H2718" s="27"/>
    </row>
    <row r="2719" spans="3:8" x14ac:dyDescent="0.15">
      <c r="C2719" s="26"/>
      <c r="D2719" s="22"/>
      <c r="E2719" s="20"/>
      <c r="F2719" s="20"/>
      <c r="G2719" s="20"/>
      <c r="H2719" s="27"/>
    </row>
    <row r="2720" spans="3:8" x14ac:dyDescent="0.15">
      <c r="C2720" s="26"/>
      <c r="D2720" s="22"/>
      <c r="E2720" s="20"/>
      <c r="F2720" s="20"/>
      <c r="G2720" s="20"/>
      <c r="H2720" s="27"/>
    </row>
    <row r="2721" spans="3:8" x14ac:dyDescent="0.15">
      <c r="C2721" s="26"/>
      <c r="D2721" s="22"/>
      <c r="E2721" s="20"/>
      <c r="F2721" s="20"/>
      <c r="G2721" s="20"/>
      <c r="H2721" s="27"/>
    </row>
    <row r="2722" spans="3:8" x14ac:dyDescent="0.15">
      <c r="C2722" s="26"/>
      <c r="D2722" s="22"/>
      <c r="E2722" s="20"/>
      <c r="F2722" s="20"/>
      <c r="G2722" s="20"/>
      <c r="H2722" s="27"/>
    </row>
    <row r="2723" spans="3:8" x14ac:dyDescent="0.15">
      <c r="C2723" s="26"/>
      <c r="D2723" s="22"/>
      <c r="E2723" s="20"/>
      <c r="F2723" s="20"/>
      <c r="G2723" s="20"/>
      <c r="H2723" s="27"/>
    </row>
    <row r="2724" spans="3:8" x14ac:dyDescent="0.15">
      <c r="C2724" s="26"/>
      <c r="D2724" s="22"/>
      <c r="E2724" s="20"/>
      <c r="F2724" s="20"/>
      <c r="G2724" s="20"/>
      <c r="H2724" s="27"/>
    </row>
    <row r="2725" spans="3:8" x14ac:dyDescent="0.15">
      <c r="C2725" s="26"/>
      <c r="D2725" s="22"/>
      <c r="E2725" s="20"/>
      <c r="F2725" s="20"/>
      <c r="G2725" s="20"/>
      <c r="H2725" s="27"/>
    </row>
    <row r="2726" spans="3:8" x14ac:dyDescent="0.15">
      <c r="C2726" s="26"/>
      <c r="D2726" s="22"/>
      <c r="E2726" s="20"/>
      <c r="F2726" s="20"/>
      <c r="G2726" s="20"/>
      <c r="H2726" s="27"/>
    </row>
    <row r="2727" spans="3:8" x14ac:dyDescent="0.15">
      <c r="C2727" s="26"/>
      <c r="D2727" s="22"/>
      <c r="E2727" s="20"/>
      <c r="F2727" s="20"/>
      <c r="G2727" s="20"/>
      <c r="H2727" s="27"/>
    </row>
    <row r="2728" spans="3:8" x14ac:dyDescent="0.15">
      <c r="C2728" s="26"/>
      <c r="D2728" s="22"/>
      <c r="E2728" s="20"/>
      <c r="F2728" s="20"/>
      <c r="G2728" s="20"/>
      <c r="H2728" s="27"/>
    </row>
    <row r="2729" spans="3:8" x14ac:dyDescent="0.15">
      <c r="C2729" s="26"/>
      <c r="D2729" s="22"/>
      <c r="E2729" s="20"/>
      <c r="F2729" s="20"/>
      <c r="G2729" s="20"/>
      <c r="H2729" s="27"/>
    </row>
    <row r="2730" spans="3:8" x14ac:dyDescent="0.15">
      <c r="C2730" s="26"/>
      <c r="D2730" s="22"/>
      <c r="E2730" s="20"/>
      <c r="F2730" s="20"/>
      <c r="G2730" s="20"/>
      <c r="H2730" s="27"/>
    </row>
    <row r="2731" spans="3:8" x14ac:dyDescent="0.15">
      <c r="C2731" s="26"/>
      <c r="D2731" s="22"/>
      <c r="E2731" s="20"/>
      <c r="F2731" s="20"/>
      <c r="G2731" s="20"/>
      <c r="H2731" s="27"/>
    </row>
    <row r="2732" spans="3:8" x14ac:dyDescent="0.15">
      <c r="C2732" s="26"/>
      <c r="D2732" s="22"/>
      <c r="E2732" s="20"/>
      <c r="F2732" s="20"/>
      <c r="G2732" s="20"/>
      <c r="H2732" s="27"/>
    </row>
    <row r="2733" spans="3:8" x14ac:dyDescent="0.15">
      <c r="C2733" s="26"/>
      <c r="D2733" s="22"/>
      <c r="E2733" s="20"/>
      <c r="F2733" s="20"/>
      <c r="G2733" s="20"/>
      <c r="H2733" s="27"/>
    </row>
    <row r="2734" spans="3:8" x14ac:dyDescent="0.15">
      <c r="C2734" s="26"/>
      <c r="D2734" s="22"/>
      <c r="E2734" s="20"/>
      <c r="F2734" s="20"/>
      <c r="G2734" s="20"/>
      <c r="H2734" s="27"/>
    </row>
    <row r="2735" spans="3:8" x14ac:dyDescent="0.15">
      <c r="C2735" s="26"/>
      <c r="D2735" s="22"/>
      <c r="E2735" s="20"/>
      <c r="F2735" s="20"/>
      <c r="G2735" s="20"/>
      <c r="H2735" s="27"/>
    </row>
    <row r="2736" spans="3:8" x14ac:dyDescent="0.15">
      <c r="C2736" s="26"/>
      <c r="D2736" s="22"/>
      <c r="E2736" s="20"/>
      <c r="F2736" s="20"/>
      <c r="G2736" s="20"/>
      <c r="H2736" s="27"/>
    </row>
    <row r="2737" spans="3:8" x14ac:dyDescent="0.15">
      <c r="C2737" s="26"/>
      <c r="D2737" s="22"/>
      <c r="E2737" s="20"/>
      <c r="F2737" s="20"/>
      <c r="G2737" s="20"/>
      <c r="H2737" s="27"/>
    </row>
    <row r="2738" spans="3:8" x14ac:dyDescent="0.15">
      <c r="C2738" s="26"/>
      <c r="D2738" s="22"/>
      <c r="E2738" s="20"/>
      <c r="F2738" s="20"/>
      <c r="G2738" s="20"/>
      <c r="H2738" s="27"/>
    </row>
    <row r="2739" spans="3:8" x14ac:dyDescent="0.15">
      <c r="C2739" s="26"/>
      <c r="D2739" s="22"/>
      <c r="E2739" s="20"/>
      <c r="F2739" s="20"/>
      <c r="G2739" s="20"/>
      <c r="H2739" s="27"/>
    </row>
    <row r="2740" spans="3:8" x14ac:dyDescent="0.15">
      <c r="C2740" s="26"/>
      <c r="D2740" s="22"/>
      <c r="E2740" s="20"/>
      <c r="F2740" s="20"/>
      <c r="G2740" s="20"/>
      <c r="H2740" s="27"/>
    </row>
    <row r="2741" spans="3:8" x14ac:dyDescent="0.15">
      <c r="C2741" s="26"/>
      <c r="D2741" s="22"/>
      <c r="E2741" s="20"/>
      <c r="F2741" s="20"/>
      <c r="G2741" s="20"/>
      <c r="H2741" s="27"/>
    </row>
    <row r="2742" spans="3:8" x14ac:dyDescent="0.15">
      <c r="C2742" s="26"/>
      <c r="D2742" s="22"/>
      <c r="E2742" s="20"/>
      <c r="F2742" s="20"/>
      <c r="G2742" s="20"/>
      <c r="H2742" s="27"/>
    </row>
    <row r="2743" spans="3:8" x14ac:dyDescent="0.15">
      <c r="C2743" s="26"/>
      <c r="D2743" s="22"/>
      <c r="E2743" s="20"/>
      <c r="F2743" s="20"/>
      <c r="G2743" s="20"/>
      <c r="H2743" s="27"/>
    </row>
    <row r="2744" spans="3:8" x14ac:dyDescent="0.15">
      <c r="C2744" s="26"/>
      <c r="D2744" s="22"/>
      <c r="E2744" s="20"/>
      <c r="F2744" s="20"/>
      <c r="G2744" s="20"/>
      <c r="H2744" s="27"/>
    </row>
    <row r="2745" spans="3:8" x14ac:dyDescent="0.15">
      <c r="C2745" s="26"/>
      <c r="D2745" s="22"/>
      <c r="E2745" s="20"/>
      <c r="F2745" s="20"/>
      <c r="G2745" s="20"/>
      <c r="H2745" s="27"/>
    </row>
    <row r="2746" spans="3:8" x14ac:dyDescent="0.15">
      <c r="C2746" s="26"/>
      <c r="D2746" s="22"/>
      <c r="E2746" s="20"/>
      <c r="F2746" s="20"/>
      <c r="G2746" s="20"/>
      <c r="H2746" s="27"/>
    </row>
    <row r="2747" spans="3:8" x14ac:dyDescent="0.15">
      <c r="C2747" s="26"/>
      <c r="D2747" s="22"/>
      <c r="E2747" s="20"/>
      <c r="F2747" s="20"/>
      <c r="G2747" s="20"/>
      <c r="H2747" s="27"/>
    </row>
    <row r="2748" spans="3:8" x14ac:dyDescent="0.15">
      <c r="C2748" s="26"/>
      <c r="D2748" s="22"/>
      <c r="E2748" s="20"/>
      <c r="F2748" s="20"/>
      <c r="G2748" s="20"/>
      <c r="H2748" s="27"/>
    </row>
    <row r="2749" spans="3:8" x14ac:dyDescent="0.15">
      <c r="C2749" s="26"/>
      <c r="D2749" s="22"/>
      <c r="E2749" s="20"/>
      <c r="F2749" s="20"/>
      <c r="G2749" s="20"/>
      <c r="H2749" s="27"/>
    </row>
    <row r="2750" spans="3:8" x14ac:dyDescent="0.15">
      <c r="C2750" s="26"/>
      <c r="D2750" s="22"/>
      <c r="E2750" s="20"/>
      <c r="F2750" s="20"/>
      <c r="G2750" s="20"/>
      <c r="H2750" s="27"/>
    </row>
    <row r="2751" spans="3:8" x14ac:dyDescent="0.15">
      <c r="C2751" s="26"/>
      <c r="D2751" s="22"/>
      <c r="E2751" s="20"/>
      <c r="F2751" s="20"/>
      <c r="G2751" s="20"/>
      <c r="H2751" s="27"/>
    </row>
    <row r="2752" spans="3:8" x14ac:dyDescent="0.15">
      <c r="C2752" s="26"/>
      <c r="D2752" s="22"/>
      <c r="E2752" s="20"/>
      <c r="F2752" s="20"/>
      <c r="G2752" s="20"/>
      <c r="H2752" s="27"/>
    </row>
    <row r="2753" spans="3:8" x14ac:dyDescent="0.15">
      <c r="C2753" s="26"/>
      <c r="D2753" s="22"/>
      <c r="E2753" s="20"/>
      <c r="F2753" s="20"/>
      <c r="G2753" s="20"/>
      <c r="H2753" s="27"/>
    </row>
    <row r="2754" spans="3:8" x14ac:dyDescent="0.15">
      <c r="C2754" s="26"/>
      <c r="D2754" s="22"/>
      <c r="E2754" s="20"/>
      <c r="F2754" s="20"/>
      <c r="G2754" s="20"/>
      <c r="H2754" s="27"/>
    </row>
    <row r="2755" spans="3:8" x14ac:dyDescent="0.15">
      <c r="C2755" s="26"/>
      <c r="D2755" s="22"/>
      <c r="E2755" s="20"/>
      <c r="F2755" s="20"/>
      <c r="G2755" s="20"/>
      <c r="H2755" s="27"/>
    </row>
    <row r="2756" spans="3:8" x14ac:dyDescent="0.15">
      <c r="C2756" s="26"/>
      <c r="D2756" s="22"/>
      <c r="E2756" s="20"/>
      <c r="F2756" s="20"/>
      <c r="G2756" s="20"/>
      <c r="H2756" s="27"/>
    </row>
    <row r="2757" spans="3:8" x14ac:dyDescent="0.15">
      <c r="C2757" s="26"/>
      <c r="D2757" s="22"/>
      <c r="E2757" s="20"/>
      <c r="F2757" s="20"/>
      <c r="G2757" s="20"/>
      <c r="H2757" s="27"/>
    </row>
    <row r="2758" spans="3:8" x14ac:dyDescent="0.15">
      <c r="C2758" s="26"/>
      <c r="D2758" s="22"/>
      <c r="E2758" s="20"/>
      <c r="F2758" s="20"/>
      <c r="G2758" s="20"/>
      <c r="H2758" s="27"/>
    </row>
    <row r="2759" spans="3:8" x14ac:dyDescent="0.15">
      <c r="C2759" s="26"/>
      <c r="D2759" s="22"/>
      <c r="E2759" s="20"/>
      <c r="F2759" s="20"/>
      <c r="G2759" s="20"/>
      <c r="H2759" s="27"/>
    </row>
    <row r="2760" spans="3:8" x14ac:dyDescent="0.15">
      <c r="C2760" s="26"/>
      <c r="D2760" s="22"/>
      <c r="E2760" s="20"/>
      <c r="F2760" s="20"/>
      <c r="G2760" s="20"/>
      <c r="H2760" s="27"/>
    </row>
    <row r="2761" spans="3:8" x14ac:dyDescent="0.15">
      <c r="C2761" s="26"/>
      <c r="D2761" s="22"/>
      <c r="E2761" s="20"/>
      <c r="F2761" s="20"/>
      <c r="G2761" s="20"/>
      <c r="H2761" s="27"/>
    </row>
    <row r="2762" spans="3:8" x14ac:dyDescent="0.15">
      <c r="C2762" s="26"/>
      <c r="D2762" s="22"/>
      <c r="E2762" s="20"/>
      <c r="F2762" s="20"/>
      <c r="G2762" s="20"/>
      <c r="H2762" s="27"/>
    </row>
    <row r="2763" spans="3:8" x14ac:dyDescent="0.15">
      <c r="C2763" s="26"/>
      <c r="D2763" s="22"/>
      <c r="E2763" s="20"/>
      <c r="F2763" s="20"/>
      <c r="G2763" s="20"/>
      <c r="H2763" s="27"/>
    </row>
    <row r="2764" spans="3:8" x14ac:dyDescent="0.15">
      <c r="C2764" s="26"/>
      <c r="D2764" s="22"/>
      <c r="E2764" s="20"/>
      <c r="F2764" s="20"/>
      <c r="G2764" s="20"/>
      <c r="H2764" s="27"/>
    </row>
    <row r="2765" spans="3:8" x14ac:dyDescent="0.15">
      <c r="C2765" s="26"/>
      <c r="D2765" s="22"/>
      <c r="E2765" s="20"/>
      <c r="F2765" s="20"/>
      <c r="G2765" s="20"/>
      <c r="H2765" s="27"/>
    </row>
    <row r="2766" spans="3:8" x14ac:dyDescent="0.15">
      <c r="C2766" s="26"/>
      <c r="D2766" s="22"/>
      <c r="E2766" s="20"/>
      <c r="F2766" s="20"/>
      <c r="G2766" s="20"/>
      <c r="H2766" s="27"/>
    </row>
    <row r="2767" spans="3:8" x14ac:dyDescent="0.15">
      <c r="C2767" s="26"/>
      <c r="D2767" s="22"/>
      <c r="E2767" s="20"/>
      <c r="F2767" s="20"/>
      <c r="G2767" s="20"/>
      <c r="H2767" s="27"/>
    </row>
    <row r="2768" spans="3:8" x14ac:dyDescent="0.15">
      <c r="C2768" s="26"/>
      <c r="D2768" s="22"/>
      <c r="E2768" s="20"/>
      <c r="F2768" s="20"/>
      <c r="G2768" s="20"/>
      <c r="H2768" s="27"/>
    </row>
    <row r="2769" spans="3:8" x14ac:dyDescent="0.15">
      <c r="C2769" s="26"/>
      <c r="D2769" s="22"/>
      <c r="E2769" s="20"/>
      <c r="F2769" s="20"/>
      <c r="G2769" s="20"/>
      <c r="H2769" s="27"/>
    </row>
    <row r="2770" spans="3:8" x14ac:dyDescent="0.15">
      <c r="C2770" s="26"/>
      <c r="D2770" s="22"/>
      <c r="E2770" s="20"/>
      <c r="F2770" s="20"/>
      <c r="G2770" s="20"/>
      <c r="H2770" s="27"/>
    </row>
    <row r="2771" spans="3:8" x14ac:dyDescent="0.15">
      <c r="C2771" s="26"/>
      <c r="D2771" s="22"/>
      <c r="E2771" s="20"/>
      <c r="F2771" s="20"/>
      <c r="G2771" s="20"/>
      <c r="H2771" s="27"/>
    </row>
    <row r="2772" spans="3:8" x14ac:dyDescent="0.15">
      <c r="C2772" s="26"/>
      <c r="D2772" s="22"/>
      <c r="E2772" s="20"/>
      <c r="F2772" s="20"/>
      <c r="G2772" s="20"/>
      <c r="H2772" s="27"/>
    </row>
    <row r="2773" spans="3:8" x14ac:dyDescent="0.15">
      <c r="C2773" s="26"/>
      <c r="D2773" s="22"/>
      <c r="E2773" s="20"/>
      <c r="F2773" s="20"/>
      <c r="G2773" s="20"/>
      <c r="H2773" s="27"/>
    </row>
    <row r="2774" spans="3:8" x14ac:dyDescent="0.15">
      <c r="C2774" s="26"/>
      <c r="D2774" s="22"/>
      <c r="E2774" s="20"/>
      <c r="F2774" s="20"/>
      <c r="G2774" s="20"/>
      <c r="H2774" s="27"/>
    </row>
    <row r="2775" spans="3:8" x14ac:dyDescent="0.15">
      <c r="C2775" s="26"/>
      <c r="D2775" s="22"/>
      <c r="E2775" s="20"/>
      <c r="F2775" s="20"/>
      <c r="G2775" s="20"/>
      <c r="H2775" s="27"/>
    </row>
    <row r="2776" spans="3:8" x14ac:dyDescent="0.15">
      <c r="C2776" s="26"/>
      <c r="D2776" s="22"/>
      <c r="E2776" s="20"/>
      <c r="F2776" s="20"/>
      <c r="G2776" s="20"/>
      <c r="H2776" s="27"/>
    </row>
    <row r="2777" spans="3:8" x14ac:dyDescent="0.15">
      <c r="C2777" s="26"/>
      <c r="D2777" s="22"/>
      <c r="E2777" s="20"/>
      <c r="F2777" s="20"/>
      <c r="G2777" s="20"/>
      <c r="H2777" s="27"/>
    </row>
    <row r="2778" spans="3:8" x14ac:dyDescent="0.15">
      <c r="C2778" s="26"/>
      <c r="D2778" s="22"/>
      <c r="E2778" s="20"/>
      <c r="F2778" s="20"/>
      <c r="G2778" s="20"/>
      <c r="H2778" s="27"/>
    </row>
    <row r="2779" spans="3:8" x14ac:dyDescent="0.15">
      <c r="C2779" s="26"/>
      <c r="D2779" s="22"/>
      <c r="E2779" s="20"/>
      <c r="F2779" s="20"/>
      <c r="G2779" s="20"/>
      <c r="H2779" s="27"/>
    </row>
    <row r="2780" spans="3:8" x14ac:dyDescent="0.15">
      <c r="C2780" s="26"/>
      <c r="D2780" s="22"/>
      <c r="E2780" s="20"/>
      <c r="F2780" s="20"/>
      <c r="G2780" s="20"/>
      <c r="H2780" s="27"/>
    </row>
    <row r="2781" spans="3:8" x14ac:dyDescent="0.15">
      <c r="C2781" s="26"/>
      <c r="D2781" s="22"/>
      <c r="E2781" s="20"/>
      <c r="F2781" s="20"/>
      <c r="G2781" s="20"/>
      <c r="H2781" s="27"/>
    </row>
    <row r="2782" spans="3:8" x14ac:dyDescent="0.15">
      <c r="C2782" s="26"/>
      <c r="D2782" s="22"/>
      <c r="E2782" s="20"/>
      <c r="F2782" s="20"/>
      <c r="G2782" s="20"/>
      <c r="H2782" s="27"/>
    </row>
    <row r="2783" spans="3:8" x14ac:dyDescent="0.15">
      <c r="C2783" s="26"/>
      <c r="D2783" s="22"/>
      <c r="E2783" s="20"/>
      <c r="F2783" s="20"/>
      <c r="G2783" s="20"/>
      <c r="H2783" s="27"/>
    </row>
    <row r="2784" spans="3:8" x14ac:dyDescent="0.15">
      <c r="C2784" s="26"/>
      <c r="D2784" s="22"/>
      <c r="E2784" s="20"/>
      <c r="F2784" s="20"/>
      <c r="G2784" s="20"/>
      <c r="H2784" s="27"/>
    </row>
    <row r="2785" spans="3:8" x14ac:dyDescent="0.15">
      <c r="C2785" s="26"/>
      <c r="D2785" s="22"/>
      <c r="E2785" s="20"/>
      <c r="F2785" s="20"/>
      <c r="G2785" s="20"/>
      <c r="H2785" s="27"/>
    </row>
    <row r="2786" spans="3:8" x14ac:dyDescent="0.15">
      <c r="C2786" s="26"/>
      <c r="D2786" s="22"/>
      <c r="E2786" s="20"/>
      <c r="F2786" s="20"/>
      <c r="G2786" s="20"/>
      <c r="H2786" s="27"/>
    </row>
    <row r="2787" spans="3:8" x14ac:dyDescent="0.15">
      <c r="C2787" s="26"/>
      <c r="D2787" s="22"/>
      <c r="E2787" s="20"/>
      <c r="F2787" s="20"/>
      <c r="G2787" s="20"/>
      <c r="H2787" s="27"/>
    </row>
    <row r="2788" spans="3:8" x14ac:dyDescent="0.15">
      <c r="C2788" s="26"/>
      <c r="D2788" s="22"/>
      <c r="E2788" s="20"/>
      <c r="F2788" s="20"/>
      <c r="G2788" s="20"/>
      <c r="H2788" s="27"/>
    </row>
    <row r="2789" spans="3:8" x14ac:dyDescent="0.15">
      <c r="C2789" s="26"/>
      <c r="D2789" s="22"/>
      <c r="E2789" s="20"/>
      <c r="F2789" s="20"/>
      <c r="G2789" s="20"/>
      <c r="H2789" s="27"/>
    </row>
    <row r="2790" spans="3:8" x14ac:dyDescent="0.15">
      <c r="C2790" s="26"/>
      <c r="D2790" s="22"/>
      <c r="E2790" s="20"/>
      <c r="F2790" s="20"/>
      <c r="G2790" s="20"/>
      <c r="H2790" s="27"/>
    </row>
    <row r="2791" spans="3:8" x14ac:dyDescent="0.15">
      <c r="C2791" s="26"/>
      <c r="D2791" s="22"/>
      <c r="E2791" s="20"/>
      <c r="F2791" s="20"/>
      <c r="G2791" s="20"/>
      <c r="H2791" s="27"/>
    </row>
    <row r="2792" spans="3:8" x14ac:dyDescent="0.15">
      <c r="C2792" s="26"/>
      <c r="D2792" s="22"/>
      <c r="E2792" s="20"/>
      <c r="F2792" s="20"/>
      <c r="G2792" s="20"/>
      <c r="H2792" s="27"/>
    </row>
    <row r="2793" spans="3:8" x14ac:dyDescent="0.15">
      <c r="C2793" s="26"/>
      <c r="D2793" s="22"/>
      <c r="E2793" s="20"/>
      <c r="F2793" s="20"/>
      <c r="G2793" s="20"/>
      <c r="H2793" s="27"/>
    </row>
    <row r="2794" spans="3:8" x14ac:dyDescent="0.15">
      <c r="C2794" s="26"/>
      <c r="D2794" s="22"/>
      <c r="E2794" s="20"/>
      <c r="F2794" s="20"/>
      <c r="G2794" s="20"/>
      <c r="H2794" s="27"/>
    </row>
    <row r="2795" spans="3:8" x14ac:dyDescent="0.15">
      <c r="C2795" s="26"/>
      <c r="D2795" s="22"/>
      <c r="E2795" s="20"/>
      <c r="F2795" s="20"/>
      <c r="G2795" s="20"/>
      <c r="H2795" s="27"/>
    </row>
    <row r="2796" spans="3:8" x14ac:dyDescent="0.15">
      <c r="C2796" s="26"/>
      <c r="D2796" s="22"/>
      <c r="E2796" s="20"/>
      <c r="F2796" s="20"/>
      <c r="G2796" s="20"/>
      <c r="H2796" s="27"/>
    </row>
    <row r="2797" spans="3:8" x14ac:dyDescent="0.15">
      <c r="C2797" s="26"/>
      <c r="D2797" s="22"/>
      <c r="E2797" s="20"/>
      <c r="F2797" s="20"/>
      <c r="G2797" s="20"/>
      <c r="H2797" s="27"/>
    </row>
    <row r="2798" spans="3:8" x14ac:dyDescent="0.15">
      <c r="C2798" s="26"/>
      <c r="D2798" s="22"/>
      <c r="E2798" s="20"/>
      <c r="F2798" s="20"/>
      <c r="G2798" s="20"/>
      <c r="H2798" s="27"/>
    </row>
    <row r="2799" spans="3:8" x14ac:dyDescent="0.15">
      <c r="C2799" s="26"/>
      <c r="D2799" s="22"/>
      <c r="E2799" s="20"/>
      <c r="F2799" s="20"/>
      <c r="G2799" s="20"/>
      <c r="H2799" s="27"/>
    </row>
    <row r="2800" spans="3:8" x14ac:dyDescent="0.15">
      <c r="C2800" s="26"/>
      <c r="D2800" s="22"/>
      <c r="E2800" s="20"/>
      <c r="F2800" s="20"/>
      <c r="G2800" s="20"/>
      <c r="H2800" s="27"/>
    </row>
    <row r="2801" spans="3:8" x14ac:dyDescent="0.15">
      <c r="C2801" s="26"/>
      <c r="D2801" s="22"/>
      <c r="E2801" s="20"/>
      <c r="F2801" s="20"/>
      <c r="G2801" s="20"/>
      <c r="H2801" s="27"/>
    </row>
    <row r="2802" spans="3:8" x14ac:dyDescent="0.15">
      <c r="C2802" s="26"/>
      <c r="D2802" s="22"/>
      <c r="E2802" s="20"/>
      <c r="F2802" s="20"/>
      <c r="G2802" s="20"/>
      <c r="H2802" s="27"/>
    </row>
    <row r="2803" spans="3:8" x14ac:dyDescent="0.15">
      <c r="C2803" s="26"/>
      <c r="D2803" s="22"/>
      <c r="E2803" s="20"/>
      <c r="F2803" s="20"/>
      <c r="G2803" s="20"/>
      <c r="H2803" s="27"/>
    </row>
    <row r="2804" spans="3:8" x14ac:dyDescent="0.15">
      <c r="C2804" s="26"/>
      <c r="D2804" s="22"/>
      <c r="E2804" s="20"/>
      <c r="F2804" s="20"/>
      <c r="G2804" s="20"/>
      <c r="H2804" s="27"/>
    </row>
    <row r="2805" spans="3:8" x14ac:dyDescent="0.15">
      <c r="C2805" s="26"/>
      <c r="D2805" s="22"/>
      <c r="E2805" s="20"/>
      <c r="F2805" s="20"/>
      <c r="G2805" s="20"/>
      <c r="H2805" s="27"/>
    </row>
    <row r="2806" spans="3:8" x14ac:dyDescent="0.15">
      <c r="C2806" s="26"/>
      <c r="D2806" s="22"/>
      <c r="E2806" s="20"/>
      <c r="F2806" s="20"/>
      <c r="G2806" s="20"/>
      <c r="H2806" s="27"/>
    </row>
    <row r="2807" spans="3:8" x14ac:dyDescent="0.15">
      <c r="C2807" s="26"/>
      <c r="D2807" s="22"/>
      <c r="E2807" s="20"/>
      <c r="F2807" s="20"/>
      <c r="G2807" s="20"/>
      <c r="H2807" s="27"/>
    </row>
    <row r="2808" spans="3:8" x14ac:dyDescent="0.15">
      <c r="C2808" s="26"/>
      <c r="D2808" s="22"/>
      <c r="E2808" s="20"/>
      <c r="F2808" s="20"/>
      <c r="G2808" s="20"/>
      <c r="H2808" s="27"/>
    </row>
    <row r="2809" spans="3:8" x14ac:dyDescent="0.15">
      <c r="C2809" s="26"/>
      <c r="D2809" s="22"/>
      <c r="E2809" s="20"/>
      <c r="F2809" s="20"/>
      <c r="G2809" s="20"/>
      <c r="H2809" s="27"/>
    </row>
    <row r="2810" spans="3:8" x14ac:dyDescent="0.15">
      <c r="C2810" s="26"/>
      <c r="D2810" s="22"/>
      <c r="E2810" s="20"/>
      <c r="F2810" s="20"/>
      <c r="G2810" s="20"/>
      <c r="H2810" s="27"/>
    </row>
    <row r="2811" spans="3:8" x14ac:dyDescent="0.15">
      <c r="C2811" s="26"/>
      <c r="D2811" s="22"/>
      <c r="E2811" s="20"/>
      <c r="F2811" s="20"/>
      <c r="G2811" s="20"/>
      <c r="H2811" s="27"/>
    </row>
    <row r="2812" spans="3:8" x14ac:dyDescent="0.15">
      <c r="C2812" s="26"/>
      <c r="D2812" s="22"/>
      <c r="E2812" s="20"/>
      <c r="F2812" s="20"/>
      <c r="G2812" s="20"/>
      <c r="H2812" s="27"/>
    </row>
    <row r="2813" spans="3:8" x14ac:dyDescent="0.15">
      <c r="C2813" s="26"/>
      <c r="D2813" s="22"/>
      <c r="E2813" s="20"/>
      <c r="F2813" s="20"/>
      <c r="G2813" s="20"/>
      <c r="H2813" s="27"/>
    </row>
    <row r="2814" spans="3:8" x14ac:dyDescent="0.15">
      <c r="C2814" s="26"/>
      <c r="D2814" s="22"/>
      <c r="E2814" s="20"/>
      <c r="F2814" s="20"/>
      <c r="G2814" s="20"/>
      <c r="H2814" s="27"/>
    </row>
    <row r="2815" spans="3:8" x14ac:dyDescent="0.15">
      <c r="C2815" s="26"/>
      <c r="D2815" s="22"/>
      <c r="E2815" s="20"/>
      <c r="F2815" s="20"/>
      <c r="G2815" s="20"/>
      <c r="H2815" s="27"/>
    </row>
    <row r="2816" spans="3:8" x14ac:dyDescent="0.15">
      <c r="C2816" s="26"/>
      <c r="D2816" s="22"/>
      <c r="E2816" s="20"/>
      <c r="F2816" s="20"/>
      <c r="G2816" s="20"/>
      <c r="H2816" s="27"/>
    </row>
    <row r="2817" spans="3:8" x14ac:dyDescent="0.15">
      <c r="C2817" s="26"/>
      <c r="D2817" s="22"/>
      <c r="E2817" s="20"/>
      <c r="F2817" s="20"/>
      <c r="G2817" s="20"/>
      <c r="H2817" s="27"/>
    </row>
    <row r="2818" spans="3:8" x14ac:dyDescent="0.15">
      <c r="C2818" s="26"/>
      <c r="D2818" s="22"/>
      <c r="E2818" s="20"/>
      <c r="F2818" s="20"/>
      <c r="G2818" s="20"/>
      <c r="H2818" s="27"/>
    </row>
    <row r="2819" spans="3:8" x14ac:dyDescent="0.15">
      <c r="C2819" s="26"/>
      <c r="D2819" s="22"/>
      <c r="E2819" s="20"/>
      <c r="F2819" s="20"/>
      <c r="G2819" s="20"/>
      <c r="H2819" s="27"/>
    </row>
    <row r="2820" spans="3:8" x14ac:dyDescent="0.15">
      <c r="C2820" s="26"/>
      <c r="D2820" s="22"/>
      <c r="E2820" s="20"/>
      <c r="F2820" s="20"/>
      <c r="G2820" s="20"/>
      <c r="H2820" s="27"/>
    </row>
    <row r="2821" spans="3:8" x14ac:dyDescent="0.15">
      <c r="C2821" s="26"/>
      <c r="D2821" s="22"/>
      <c r="E2821" s="20"/>
      <c r="F2821" s="20"/>
      <c r="G2821" s="20"/>
      <c r="H2821" s="27"/>
    </row>
    <row r="2822" spans="3:8" x14ac:dyDescent="0.15">
      <c r="C2822" s="26"/>
      <c r="D2822" s="22"/>
      <c r="E2822" s="20"/>
      <c r="F2822" s="20"/>
      <c r="G2822" s="20"/>
      <c r="H2822" s="27"/>
    </row>
    <row r="2823" spans="3:8" x14ac:dyDescent="0.15">
      <c r="C2823" s="26"/>
      <c r="D2823" s="22"/>
      <c r="E2823" s="20"/>
      <c r="F2823" s="20"/>
      <c r="G2823" s="20"/>
      <c r="H2823" s="27"/>
    </row>
    <row r="2824" spans="3:8" x14ac:dyDescent="0.15">
      <c r="C2824" s="26"/>
      <c r="D2824" s="22"/>
      <c r="E2824" s="20"/>
      <c r="F2824" s="20"/>
      <c r="G2824" s="20"/>
      <c r="H2824" s="27"/>
    </row>
    <row r="2825" spans="3:8" x14ac:dyDescent="0.15">
      <c r="C2825" s="26"/>
      <c r="D2825" s="22"/>
      <c r="E2825" s="20"/>
      <c r="F2825" s="20"/>
      <c r="G2825" s="20"/>
      <c r="H2825" s="27"/>
    </row>
    <row r="2826" spans="3:8" x14ac:dyDescent="0.15">
      <c r="C2826" s="26"/>
      <c r="D2826" s="22"/>
      <c r="E2826" s="20"/>
      <c r="F2826" s="20"/>
      <c r="G2826" s="20"/>
      <c r="H2826" s="27"/>
    </row>
    <row r="2827" spans="3:8" x14ac:dyDescent="0.15">
      <c r="C2827" s="26"/>
      <c r="D2827" s="22"/>
      <c r="E2827" s="20"/>
      <c r="F2827" s="20"/>
      <c r="G2827" s="20"/>
      <c r="H2827" s="27"/>
    </row>
    <row r="2828" spans="3:8" x14ac:dyDescent="0.15">
      <c r="C2828" s="26"/>
      <c r="D2828" s="22"/>
      <c r="E2828" s="20"/>
      <c r="F2828" s="20"/>
      <c r="G2828" s="20"/>
      <c r="H2828" s="27"/>
    </row>
    <row r="2829" spans="3:8" x14ac:dyDescent="0.15">
      <c r="C2829" s="26"/>
      <c r="D2829" s="22"/>
      <c r="E2829" s="20"/>
      <c r="F2829" s="20"/>
      <c r="G2829" s="20"/>
      <c r="H2829" s="27"/>
    </row>
    <row r="2830" spans="3:8" x14ac:dyDescent="0.15">
      <c r="C2830" s="26"/>
      <c r="D2830" s="22"/>
      <c r="E2830" s="20"/>
      <c r="F2830" s="20"/>
      <c r="G2830" s="20"/>
      <c r="H2830" s="27"/>
    </row>
    <row r="2831" spans="3:8" x14ac:dyDescent="0.15">
      <c r="C2831" s="26"/>
      <c r="D2831" s="22"/>
      <c r="E2831" s="20"/>
      <c r="F2831" s="20"/>
      <c r="G2831" s="20"/>
      <c r="H2831" s="27"/>
    </row>
    <row r="2832" spans="3:8" x14ac:dyDescent="0.15">
      <c r="C2832" s="26"/>
      <c r="D2832" s="22"/>
      <c r="E2832" s="20"/>
      <c r="F2832" s="20"/>
      <c r="G2832" s="20"/>
      <c r="H2832" s="27"/>
    </row>
    <row r="2833" spans="3:8" x14ac:dyDescent="0.15">
      <c r="C2833" s="26"/>
      <c r="D2833" s="22"/>
      <c r="E2833" s="20"/>
      <c r="F2833" s="20"/>
      <c r="G2833" s="20"/>
      <c r="H2833" s="27"/>
    </row>
    <row r="2834" spans="3:8" x14ac:dyDescent="0.15">
      <c r="C2834" s="26"/>
      <c r="D2834" s="22"/>
      <c r="E2834" s="20"/>
      <c r="F2834" s="20"/>
      <c r="G2834" s="20"/>
      <c r="H2834" s="27"/>
    </row>
    <row r="2835" spans="3:8" x14ac:dyDescent="0.15">
      <c r="C2835" s="26"/>
      <c r="D2835" s="22"/>
      <c r="E2835" s="20"/>
      <c r="F2835" s="20"/>
      <c r="G2835" s="20"/>
      <c r="H2835" s="27"/>
    </row>
    <row r="2836" spans="3:8" x14ac:dyDescent="0.15">
      <c r="C2836" s="26"/>
      <c r="D2836" s="22"/>
      <c r="E2836" s="20"/>
      <c r="F2836" s="20"/>
      <c r="G2836" s="20"/>
      <c r="H2836" s="27"/>
    </row>
    <row r="2837" spans="3:8" x14ac:dyDescent="0.15">
      <c r="C2837" s="26"/>
      <c r="D2837" s="22"/>
      <c r="E2837" s="20"/>
      <c r="F2837" s="20"/>
      <c r="G2837" s="20"/>
      <c r="H2837" s="27"/>
    </row>
    <row r="2838" spans="3:8" x14ac:dyDescent="0.15">
      <c r="C2838" s="26"/>
      <c r="D2838" s="22"/>
      <c r="E2838" s="20"/>
      <c r="F2838" s="20"/>
      <c r="G2838" s="20"/>
      <c r="H2838" s="27"/>
    </row>
    <row r="2839" spans="3:8" x14ac:dyDescent="0.15">
      <c r="C2839" s="26"/>
      <c r="D2839" s="22"/>
      <c r="E2839" s="20"/>
      <c r="F2839" s="20"/>
      <c r="G2839" s="20"/>
      <c r="H2839" s="27"/>
    </row>
    <row r="2840" spans="3:8" x14ac:dyDescent="0.15">
      <c r="C2840" s="26"/>
      <c r="D2840" s="22"/>
      <c r="E2840" s="20"/>
      <c r="F2840" s="20"/>
      <c r="G2840" s="20"/>
      <c r="H2840" s="27"/>
    </row>
    <row r="2841" spans="3:8" x14ac:dyDescent="0.15">
      <c r="C2841" s="26"/>
      <c r="D2841" s="22"/>
      <c r="E2841" s="20"/>
      <c r="F2841" s="20"/>
      <c r="G2841" s="20"/>
      <c r="H2841" s="27"/>
    </row>
    <row r="2842" spans="3:8" x14ac:dyDescent="0.15">
      <c r="C2842" s="26"/>
      <c r="D2842" s="22"/>
      <c r="E2842" s="20"/>
      <c r="F2842" s="20"/>
      <c r="G2842" s="20"/>
      <c r="H2842" s="27"/>
    </row>
    <row r="2843" spans="3:8" x14ac:dyDescent="0.15">
      <c r="C2843" s="26"/>
      <c r="D2843" s="22"/>
      <c r="E2843" s="20"/>
      <c r="F2843" s="20"/>
      <c r="G2843" s="20"/>
      <c r="H2843" s="27"/>
    </row>
    <row r="2844" spans="3:8" x14ac:dyDescent="0.15">
      <c r="C2844" s="26"/>
      <c r="D2844" s="22"/>
      <c r="E2844" s="20"/>
      <c r="F2844" s="20"/>
      <c r="G2844" s="20"/>
      <c r="H2844" s="27"/>
    </row>
    <row r="2845" spans="3:8" x14ac:dyDescent="0.15">
      <c r="C2845" s="26"/>
      <c r="D2845" s="22"/>
      <c r="E2845" s="20"/>
      <c r="F2845" s="20"/>
      <c r="G2845" s="20"/>
      <c r="H2845" s="27"/>
    </row>
    <row r="2846" spans="3:8" x14ac:dyDescent="0.15">
      <c r="C2846" s="26"/>
      <c r="D2846" s="22"/>
      <c r="E2846" s="20"/>
      <c r="F2846" s="20"/>
      <c r="G2846" s="20"/>
      <c r="H2846" s="27"/>
    </row>
    <row r="2847" spans="3:8" x14ac:dyDescent="0.15">
      <c r="C2847" s="26"/>
      <c r="D2847" s="22"/>
      <c r="E2847" s="20"/>
      <c r="F2847" s="20"/>
      <c r="G2847" s="20"/>
      <c r="H2847" s="27"/>
    </row>
    <row r="2848" spans="3:8" x14ac:dyDescent="0.15">
      <c r="C2848" s="26"/>
      <c r="D2848" s="22"/>
      <c r="E2848" s="20"/>
      <c r="F2848" s="20"/>
      <c r="G2848" s="20"/>
      <c r="H2848" s="27"/>
    </row>
    <row r="2849" spans="3:8" x14ac:dyDescent="0.15">
      <c r="C2849" s="26"/>
      <c r="D2849" s="22"/>
      <c r="E2849" s="20"/>
      <c r="F2849" s="20"/>
      <c r="G2849" s="20"/>
      <c r="H2849" s="27"/>
    </row>
    <row r="2850" spans="3:8" x14ac:dyDescent="0.15">
      <c r="C2850" s="26"/>
      <c r="D2850" s="22"/>
      <c r="E2850" s="20"/>
      <c r="F2850" s="20"/>
      <c r="G2850" s="20"/>
      <c r="H2850" s="27"/>
    </row>
    <row r="2851" spans="3:8" x14ac:dyDescent="0.15">
      <c r="C2851" s="26"/>
      <c r="D2851" s="22"/>
      <c r="E2851" s="20"/>
      <c r="F2851" s="20"/>
      <c r="G2851" s="20"/>
      <c r="H2851" s="27"/>
    </row>
    <row r="2852" spans="3:8" x14ac:dyDescent="0.15">
      <c r="C2852" s="26"/>
      <c r="D2852" s="22"/>
      <c r="E2852" s="20"/>
      <c r="F2852" s="20"/>
      <c r="G2852" s="20"/>
      <c r="H2852" s="27"/>
    </row>
    <row r="2853" spans="3:8" x14ac:dyDescent="0.15">
      <c r="C2853" s="26"/>
      <c r="D2853" s="22"/>
      <c r="E2853" s="20"/>
      <c r="F2853" s="20"/>
      <c r="G2853" s="20"/>
      <c r="H2853" s="27"/>
    </row>
    <row r="2854" spans="3:8" x14ac:dyDescent="0.15">
      <c r="C2854" s="26"/>
      <c r="D2854" s="22"/>
      <c r="E2854" s="20"/>
      <c r="F2854" s="20"/>
      <c r="G2854" s="20"/>
      <c r="H2854" s="27"/>
    </row>
    <row r="2855" spans="3:8" x14ac:dyDescent="0.15">
      <c r="C2855" s="26"/>
      <c r="D2855" s="22"/>
      <c r="E2855" s="20"/>
      <c r="F2855" s="20"/>
      <c r="G2855" s="20"/>
      <c r="H2855" s="27"/>
    </row>
    <row r="2856" spans="3:8" x14ac:dyDescent="0.15">
      <c r="C2856" s="26"/>
      <c r="D2856" s="22"/>
      <c r="E2856" s="20"/>
      <c r="F2856" s="20"/>
      <c r="G2856" s="20"/>
      <c r="H2856" s="27"/>
    </row>
    <row r="2857" spans="3:8" x14ac:dyDescent="0.15">
      <c r="C2857" s="26"/>
      <c r="D2857" s="22"/>
      <c r="E2857" s="20"/>
      <c r="F2857" s="20"/>
      <c r="G2857" s="20"/>
      <c r="H2857" s="27"/>
    </row>
    <row r="2858" spans="3:8" x14ac:dyDescent="0.15">
      <c r="C2858" s="26"/>
      <c r="D2858" s="22"/>
      <c r="E2858" s="20"/>
      <c r="F2858" s="20"/>
      <c r="G2858" s="20"/>
      <c r="H2858" s="27"/>
    </row>
    <row r="2859" spans="3:8" x14ac:dyDescent="0.15">
      <c r="C2859" s="26"/>
      <c r="D2859" s="22"/>
      <c r="E2859" s="20"/>
      <c r="F2859" s="20"/>
      <c r="G2859" s="20"/>
      <c r="H2859" s="27"/>
    </row>
    <row r="2860" spans="3:8" x14ac:dyDescent="0.15">
      <c r="C2860" s="26"/>
      <c r="D2860" s="22"/>
      <c r="E2860" s="20"/>
      <c r="F2860" s="20"/>
      <c r="G2860" s="20"/>
      <c r="H2860" s="27"/>
    </row>
    <row r="2861" spans="3:8" x14ac:dyDescent="0.15">
      <c r="C2861" s="26"/>
      <c r="D2861" s="22"/>
      <c r="E2861" s="20"/>
      <c r="F2861" s="20"/>
      <c r="G2861" s="20"/>
      <c r="H2861" s="27"/>
    </row>
    <row r="2862" spans="3:8" x14ac:dyDescent="0.15">
      <c r="C2862" s="26"/>
      <c r="D2862" s="22"/>
      <c r="E2862" s="20"/>
      <c r="F2862" s="20"/>
      <c r="G2862" s="20"/>
      <c r="H2862" s="27"/>
    </row>
    <row r="2863" spans="3:8" x14ac:dyDescent="0.15">
      <c r="C2863" s="26"/>
      <c r="D2863" s="22"/>
      <c r="E2863" s="20"/>
      <c r="F2863" s="20"/>
      <c r="G2863" s="20"/>
      <c r="H2863" s="27"/>
    </row>
    <row r="2864" spans="3:8" x14ac:dyDescent="0.15">
      <c r="C2864" s="26"/>
      <c r="D2864" s="22"/>
      <c r="E2864" s="20"/>
      <c r="F2864" s="20"/>
      <c r="G2864" s="20"/>
      <c r="H2864" s="27"/>
    </row>
    <row r="2865" spans="3:8" x14ac:dyDescent="0.15">
      <c r="C2865" s="26"/>
      <c r="D2865" s="22"/>
      <c r="E2865" s="20"/>
      <c r="F2865" s="20"/>
      <c r="G2865" s="20"/>
      <c r="H2865" s="27"/>
    </row>
    <row r="2866" spans="3:8" x14ac:dyDescent="0.15">
      <c r="C2866" s="26"/>
      <c r="D2866" s="22"/>
      <c r="E2866" s="20"/>
      <c r="F2866" s="20"/>
      <c r="G2866" s="20"/>
      <c r="H2866" s="27"/>
    </row>
    <row r="2867" spans="3:8" x14ac:dyDescent="0.15">
      <c r="C2867" s="26"/>
      <c r="D2867" s="22"/>
      <c r="E2867" s="20"/>
      <c r="F2867" s="20"/>
      <c r="G2867" s="20"/>
      <c r="H2867" s="27"/>
    </row>
    <row r="2868" spans="3:8" x14ac:dyDescent="0.15">
      <c r="C2868" s="26"/>
      <c r="D2868" s="22"/>
      <c r="E2868" s="20"/>
      <c r="F2868" s="20"/>
      <c r="G2868" s="20"/>
      <c r="H2868" s="27"/>
    </row>
    <row r="2869" spans="3:8" x14ac:dyDescent="0.15">
      <c r="C2869" s="26"/>
      <c r="D2869" s="22"/>
      <c r="E2869" s="20"/>
      <c r="F2869" s="20"/>
      <c r="G2869" s="20"/>
      <c r="H2869" s="27"/>
    </row>
    <row r="2870" spans="3:8" x14ac:dyDescent="0.15">
      <c r="C2870" s="26"/>
      <c r="D2870" s="22"/>
      <c r="E2870" s="20"/>
      <c r="F2870" s="20"/>
      <c r="G2870" s="20"/>
      <c r="H2870" s="27"/>
    </row>
    <row r="2871" spans="3:8" x14ac:dyDescent="0.15">
      <c r="C2871" s="26"/>
      <c r="D2871" s="22"/>
      <c r="E2871" s="20"/>
      <c r="F2871" s="20"/>
      <c r="G2871" s="20"/>
      <c r="H2871" s="27"/>
    </row>
    <row r="2872" spans="3:8" x14ac:dyDescent="0.15">
      <c r="C2872" s="26"/>
      <c r="D2872" s="22"/>
      <c r="E2872" s="20"/>
      <c r="F2872" s="20"/>
      <c r="G2872" s="20"/>
      <c r="H2872" s="27"/>
    </row>
    <row r="2873" spans="3:8" x14ac:dyDescent="0.15">
      <c r="C2873" s="26"/>
      <c r="D2873" s="22"/>
      <c r="E2873" s="20"/>
      <c r="F2873" s="20"/>
      <c r="G2873" s="20"/>
      <c r="H2873" s="27"/>
    </row>
    <row r="2874" spans="3:8" x14ac:dyDescent="0.15">
      <c r="C2874" s="26"/>
      <c r="D2874" s="22"/>
      <c r="E2874" s="20"/>
      <c r="F2874" s="20"/>
      <c r="G2874" s="20"/>
      <c r="H2874" s="27"/>
    </row>
    <row r="2875" spans="3:8" x14ac:dyDescent="0.15">
      <c r="C2875" s="26"/>
      <c r="D2875" s="22"/>
      <c r="E2875" s="20"/>
      <c r="F2875" s="20"/>
      <c r="G2875" s="20"/>
      <c r="H2875" s="27"/>
    </row>
    <row r="2876" spans="3:8" x14ac:dyDescent="0.15">
      <c r="C2876" s="26"/>
      <c r="D2876" s="22"/>
      <c r="E2876" s="20"/>
      <c r="F2876" s="20"/>
      <c r="G2876" s="20"/>
      <c r="H2876" s="27"/>
    </row>
    <row r="2877" spans="3:8" x14ac:dyDescent="0.15">
      <c r="C2877" s="26"/>
      <c r="D2877" s="22"/>
      <c r="E2877" s="20"/>
      <c r="F2877" s="20"/>
      <c r="G2877" s="20"/>
      <c r="H2877" s="27"/>
    </row>
    <row r="2878" spans="3:8" x14ac:dyDescent="0.15">
      <c r="C2878" s="26"/>
      <c r="D2878" s="22"/>
      <c r="E2878" s="20"/>
      <c r="F2878" s="20"/>
      <c r="G2878" s="20"/>
      <c r="H2878" s="27"/>
    </row>
    <row r="2879" spans="3:8" x14ac:dyDescent="0.15">
      <c r="C2879" s="26"/>
      <c r="D2879" s="22"/>
      <c r="E2879" s="20"/>
      <c r="F2879" s="20"/>
      <c r="G2879" s="20"/>
      <c r="H2879" s="27"/>
    </row>
    <row r="2880" spans="3:8" x14ac:dyDescent="0.15">
      <c r="C2880" s="26"/>
      <c r="D2880" s="22"/>
      <c r="E2880" s="20"/>
      <c r="F2880" s="20"/>
      <c r="G2880" s="20"/>
      <c r="H2880" s="27"/>
    </row>
    <row r="2881" spans="3:8" x14ac:dyDescent="0.15">
      <c r="C2881" s="26"/>
      <c r="D2881" s="22"/>
      <c r="E2881" s="20"/>
      <c r="F2881" s="20"/>
      <c r="G2881" s="20"/>
      <c r="H2881" s="27"/>
    </row>
    <row r="2882" spans="3:8" x14ac:dyDescent="0.15">
      <c r="C2882" s="26"/>
      <c r="D2882" s="22"/>
      <c r="E2882" s="20"/>
      <c r="F2882" s="20"/>
      <c r="G2882" s="20"/>
      <c r="H2882" s="27"/>
    </row>
    <row r="2883" spans="3:8" x14ac:dyDescent="0.15">
      <c r="C2883" s="26"/>
      <c r="D2883" s="22"/>
      <c r="E2883" s="20"/>
      <c r="F2883" s="20"/>
      <c r="G2883" s="20"/>
      <c r="H2883" s="27"/>
    </row>
    <row r="2884" spans="3:8" x14ac:dyDescent="0.15">
      <c r="C2884" s="26"/>
      <c r="D2884" s="22"/>
      <c r="E2884" s="20"/>
      <c r="F2884" s="20"/>
      <c r="G2884" s="20"/>
      <c r="H2884" s="27"/>
    </row>
    <row r="2885" spans="3:8" x14ac:dyDescent="0.15">
      <c r="C2885" s="26"/>
      <c r="D2885" s="22"/>
      <c r="E2885" s="20"/>
      <c r="F2885" s="20"/>
      <c r="G2885" s="20"/>
      <c r="H2885" s="27"/>
    </row>
    <row r="2886" spans="3:8" x14ac:dyDescent="0.15">
      <c r="C2886" s="26"/>
      <c r="D2886" s="22"/>
      <c r="E2886" s="20"/>
      <c r="F2886" s="20"/>
      <c r="G2886" s="20"/>
      <c r="H2886" s="27"/>
    </row>
    <row r="2887" spans="3:8" x14ac:dyDescent="0.15">
      <c r="C2887" s="26"/>
      <c r="D2887" s="22"/>
      <c r="E2887" s="20"/>
      <c r="F2887" s="20"/>
      <c r="G2887" s="20"/>
      <c r="H2887" s="27"/>
    </row>
    <row r="2888" spans="3:8" x14ac:dyDescent="0.15">
      <c r="C2888" s="26"/>
      <c r="D2888" s="22"/>
      <c r="E2888" s="20"/>
      <c r="F2888" s="20"/>
      <c r="G2888" s="20"/>
      <c r="H2888" s="27"/>
    </row>
    <row r="2889" spans="3:8" x14ac:dyDescent="0.15">
      <c r="C2889" s="26"/>
      <c r="D2889" s="22"/>
      <c r="E2889" s="20"/>
      <c r="F2889" s="20"/>
      <c r="G2889" s="20"/>
      <c r="H2889" s="27"/>
    </row>
    <row r="2890" spans="3:8" x14ac:dyDescent="0.15">
      <c r="C2890" s="26"/>
      <c r="D2890" s="22"/>
      <c r="E2890" s="20"/>
      <c r="F2890" s="20"/>
      <c r="G2890" s="20"/>
      <c r="H2890" s="27"/>
    </row>
    <row r="2891" spans="3:8" x14ac:dyDescent="0.15">
      <c r="C2891" s="26"/>
      <c r="D2891" s="22"/>
      <c r="E2891" s="20"/>
      <c r="F2891" s="20"/>
      <c r="G2891" s="20"/>
      <c r="H2891" s="27"/>
    </row>
    <row r="2892" spans="3:8" x14ac:dyDescent="0.15">
      <c r="C2892" s="26"/>
      <c r="D2892" s="22"/>
      <c r="E2892" s="20"/>
      <c r="F2892" s="20"/>
      <c r="G2892" s="20"/>
      <c r="H2892" s="27"/>
    </row>
    <row r="2893" spans="3:8" x14ac:dyDescent="0.15">
      <c r="C2893" s="26"/>
      <c r="D2893" s="22"/>
      <c r="E2893" s="20"/>
      <c r="F2893" s="20"/>
      <c r="G2893" s="20"/>
      <c r="H2893" s="27"/>
    </row>
    <row r="2894" spans="3:8" x14ac:dyDescent="0.15">
      <c r="C2894" s="26"/>
      <c r="D2894" s="22"/>
      <c r="E2894" s="20"/>
      <c r="F2894" s="20"/>
      <c r="G2894" s="20"/>
      <c r="H2894" s="27"/>
    </row>
    <row r="2895" spans="3:8" x14ac:dyDescent="0.15">
      <c r="C2895" s="26"/>
      <c r="D2895" s="22"/>
      <c r="E2895" s="20"/>
      <c r="F2895" s="20"/>
      <c r="G2895" s="20"/>
      <c r="H2895" s="27"/>
    </row>
    <row r="2896" spans="3:8" x14ac:dyDescent="0.15">
      <c r="C2896" s="26"/>
      <c r="D2896" s="22"/>
      <c r="E2896" s="20"/>
      <c r="F2896" s="20"/>
      <c r="G2896" s="20"/>
      <c r="H2896" s="27"/>
    </row>
    <row r="2897" spans="3:8" x14ac:dyDescent="0.15">
      <c r="C2897" s="26"/>
      <c r="D2897" s="22"/>
      <c r="E2897" s="20"/>
      <c r="F2897" s="20"/>
      <c r="G2897" s="20"/>
      <c r="H2897" s="27"/>
    </row>
    <row r="2898" spans="3:8" x14ac:dyDescent="0.15">
      <c r="C2898" s="26"/>
      <c r="D2898" s="22"/>
      <c r="E2898" s="20"/>
      <c r="F2898" s="20"/>
      <c r="G2898" s="20"/>
      <c r="H2898" s="27"/>
    </row>
    <row r="2899" spans="3:8" x14ac:dyDescent="0.15">
      <c r="C2899" s="26"/>
      <c r="D2899" s="22"/>
      <c r="E2899" s="20"/>
      <c r="F2899" s="20"/>
      <c r="G2899" s="20"/>
      <c r="H2899" s="27"/>
    </row>
    <row r="2900" spans="3:8" x14ac:dyDescent="0.15">
      <c r="C2900" s="26"/>
      <c r="D2900" s="22"/>
      <c r="E2900" s="20"/>
      <c r="F2900" s="20"/>
      <c r="G2900" s="20"/>
      <c r="H2900" s="27"/>
    </row>
    <row r="2901" spans="3:8" x14ac:dyDescent="0.15">
      <c r="C2901" s="26"/>
      <c r="D2901" s="22"/>
      <c r="E2901" s="20"/>
      <c r="F2901" s="20"/>
      <c r="G2901" s="20"/>
      <c r="H2901" s="27"/>
    </row>
    <row r="2902" spans="3:8" x14ac:dyDescent="0.15">
      <c r="C2902" s="26"/>
      <c r="D2902" s="22"/>
      <c r="E2902" s="20"/>
      <c r="F2902" s="20"/>
      <c r="G2902" s="20"/>
      <c r="H2902" s="27"/>
    </row>
    <row r="2903" spans="3:8" x14ac:dyDescent="0.15">
      <c r="C2903" s="26"/>
      <c r="D2903" s="22"/>
      <c r="E2903" s="20"/>
      <c r="F2903" s="20"/>
      <c r="G2903" s="20"/>
      <c r="H2903" s="27"/>
    </row>
    <row r="2904" spans="3:8" x14ac:dyDescent="0.15">
      <c r="C2904" s="26"/>
      <c r="D2904" s="22"/>
      <c r="E2904" s="20"/>
      <c r="F2904" s="20"/>
      <c r="G2904" s="20"/>
      <c r="H2904" s="27"/>
    </row>
    <row r="2905" spans="3:8" x14ac:dyDescent="0.15">
      <c r="C2905" s="26"/>
      <c r="D2905" s="22"/>
      <c r="E2905" s="20"/>
      <c r="F2905" s="20"/>
      <c r="G2905" s="20"/>
      <c r="H2905" s="27"/>
    </row>
    <row r="2906" spans="3:8" x14ac:dyDescent="0.15">
      <c r="C2906" s="26"/>
      <c r="D2906" s="22"/>
      <c r="E2906" s="20"/>
      <c r="F2906" s="20"/>
      <c r="G2906" s="20"/>
      <c r="H2906" s="27"/>
    </row>
    <row r="2907" spans="3:8" x14ac:dyDescent="0.15">
      <c r="C2907" s="26"/>
      <c r="D2907" s="22"/>
      <c r="E2907" s="20"/>
      <c r="F2907" s="20"/>
      <c r="G2907" s="20"/>
      <c r="H2907" s="27"/>
    </row>
    <row r="2908" spans="3:8" x14ac:dyDescent="0.15">
      <c r="C2908" s="26"/>
      <c r="D2908" s="22"/>
      <c r="E2908" s="20"/>
      <c r="F2908" s="20"/>
      <c r="G2908" s="20"/>
      <c r="H2908" s="27"/>
    </row>
    <row r="2909" spans="3:8" x14ac:dyDescent="0.15">
      <c r="C2909" s="26"/>
      <c r="D2909" s="22"/>
      <c r="E2909" s="20"/>
      <c r="F2909" s="20"/>
      <c r="G2909" s="20"/>
      <c r="H2909" s="27"/>
    </row>
    <row r="2910" spans="3:8" x14ac:dyDescent="0.15">
      <c r="C2910" s="26"/>
      <c r="D2910" s="22"/>
      <c r="E2910" s="20"/>
      <c r="F2910" s="20"/>
      <c r="G2910" s="20"/>
      <c r="H2910" s="27"/>
    </row>
    <row r="2911" spans="3:8" x14ac:dyDescent="0.15">
      <c r="C2911" s="26"/>
      <c r="D2911" s="22"/>
      <c r="E2911" s="20"/>
      <c r="F2911" s="20"/>
      <c r="G2911" s="20"/>
      <c r="H2911" s="27"/>
    </row>
    <row r="2912" spans="3:8" x14ac:dyDescent="0.15">
      <c r="C2912" s="26"/>
      <c r="D2912" s="22"/>
      <c r="E2912" s="20"/>
      <c r="F2912" s="20"/>
      <c r="G2912" s="20"/>
      <c r="H2912" s="27"/>
    </row>
    <row r="2913" spans="3:8" x14ac:dyDescent="0.15">
      <c r="C2913" s="26"/>
      <c r="D2913" s="22"/>
      <c r="E2913" s="20"/>
      <c r="F2913" s="20"/>
      <c r="G2913" s="20"/>
      <c r="H2913" s="27"/>
    </row>
    <row r="2914" spans="3:8" x14ac:dyDescent="0.15">
      <c r="C2914" s="26"/>
      <c r="D2914" s="22"/>
      <c r="E2914" s="20"/>
      <c r="F2914" s="20"/>
      <c r="G2914" s="20"/>
      <c r="H2914" s="27"/>
    </row>
    <row r="2915" spans="3:8" x14ac:dyDescent="0.15">
      <c r="C2915" s="26"/>
      <c r="D2915" s="22"/>
      <c r="E2915" s="20"/>
      <c r="F2915" s="20"/>
      <c r="G2915" s="20"/>
      <c r="H2915" s="27"/>
    </row>
    <row r="2916" spans="3:8" x14ac:dyDescent="0.15">
      <c r="C2916" s="26"/>
      <c r="D2916" s="22"/>
      <c r="E2916" s="20"/>
      <c r="F2916" s="20"/>
      <c r="G2916" s="20"/>
      <c r="H2916" s="27"/>
    </row>
    <row r="2917" spans="3:8" x14ac:dyDescent="0.15">
      <c r="C2917" s="26"/>
      <c r="D2917" s="22"/>
      <c r="E2917" s="20"/>
      <c r="F2917" s="20"/>
      <c r="G2917" s="20"/>
      <c r="H2917" s="27"/>
    </row>
    <row r="2918" spans="3:8" x14ac:dyDescent="0.15">
      <c r="C2918" s="26"/>
      <c r="D2918" s="22"/>
      <c r="E2918" s="20"/>
      <c r="F2918" s="20"/>
      <c r="G2918" s="20"/>
      <c r="H2918" s="27"/>
    </row>
    <row r="2919" spans="3:8" x14ac:dyDescent="0.15">
      <c r="C2919" s="26"/>
      <c r="D2919" s="22"/>
      <c r="E2919" s="20"/>
      <c r="F2919" s="20"/>
      <c r="G2919" s="20"/>
      <c r="H2919" s="27"/>
    </row>
    <row r="2920" spans="3:8" x14ac:dyDescent="0.15">
      <c r="C2920" s="26"/>
      <c r="D2920" s="22"/>
      <c r="E2920" s="20"/>
      <c r="F2920" s="20"/>
      <c r="G2920" s="20"/>
      <c r="H2920" s="27"/>
    </row>
    <row r="2921" spans="3:8" x14ac:dyDescent="0.15">
      <c r="C2921" s="26"/>
      <c r="D2921" s="22"/>
      <c r="E2921" s="20"/>
      <c r="F2921" s="20"/>
      <c r="G2921" s="20"/>
      <c r="H2921" s="27"/>
    </row>
    <row r="2922" spans="3:8" x14ac:dyDescent="0.15">
      <c r="C2922" s="26"/>
      <c r="D2922" s="22"/>
      <c r="E2922" s="20"/>
      <c r="F2922" s="20"/>
      <c r="G2922" s="20"/>
      <c r="H2922" s="27"/>
    </row>
    <row r="2923" spans="3:8" x14ac:dyDescent="0.15">
      <c r="C2923" s="26"/>
      <c r="D2923" s="22"/>
      <c r="E2923" s="20"/>
      <c r="F2923" s="20"/>
      <c r="G2923" s="20"/>
      <c r="H2923" s="27"/>
    </row>
    <row r="2924" spans="3:8" x14ac:dyDescent="0.15">
      <c r="C2924" s="26"/>
      <c r="D2924" s="22"/>
      <c r="E2924" s="20"/>
      <c r="F2924" s="20"/>
      <c r="G2924" s="20"/>
      <c r="H2924" s="27"/>
    </row>
    <row r="2925" spans="3:8" x14ac:dyDescent="0.15">
      <c r="C2925" s="26"/>
      <c r="D2925" s="22"/>
      <c r="E2925" s="20"/>
      <c r="F2925" s="20"/>
      <c r="G2925" s="20"/>
      <c r="H2925" s="27"/>
    </row>
    <row r="2926" spans="3:8" x14ac:dyDescent="0.15">
      <c r="C2926" s="26"/>
      <c r="D2926" s="22"/>
      <c r="E2926" s="20"/>
      <c r="F2926" s="20"/>
      <c r="G2926" s="20"/>
      <c r="H2926" s="27"/>
    </row>
    <row r="2927" spans="3:8" x14ac:dyDescent="0.15">
      <c r="C2927" s="26"/>
      <c r="D2927" s="22"/>
      <c r="E2927" s="20"/>
      <c r="F2927" s="20"/>
      <c r="G2927" s="20"/>
      <c r="H2927" s="27"/>
    </row>
    <row r="2928" spans="3:8" x14ac:dyDescent="0.15">
      <c r="C2928" s="26"/>
      <c r="D2928" s="22"/>
      <c r="E2928" s="20"/>
      <c r="F2928" s="20"/>
      <c r="G2928" s="20"/>
      <c r="H2928" s="27"/>
    </row>
    <row r="2929" spans="3:8" x14ac:dyDescent="0.15">
      <c r="C2929" s="26"/>
      <c r="D2929" s="22"/>
      <c r="E2929" s="20"/>
      <c r="F2929" s="20"/>
      <c r="G2929" s="20"/>
      <c r="H2929" s="27"/>
    </row>
    <row r="2930" spans="3:8" x14ac:dyDescent="0.15">
      <c r="C2930" s="26"/>
      <c r="D2930" s="22"/>
      <c r="E2930" s="20"/>
      <c r="F2930" s="20"/>
      <c r="G2930" s="20"/>
      <c r="H2930" s="27"/>
    </row>
    <row r="2931" spans="3:8" x14ac:dyDescent="0.15">
      <c r="C2931" s="26"/>
      <c r="D2931" s="22"/>
      <c r="E2931" s="20"/>
      <c r="F2931" s="20"/>
      <c r="G2931" s="20"/>
      <c r="H2931" s="27"/>
    </row>
    <row r="2932" spans="3:8" x14ac:dyDescent="0.15">
      <c r="C2932" s="26"/>
      <c r="D2932" s="22"/>
      <c r="E2932" s="20"/>
      <c r="F2932" s="20"/>
      <c r="G2932" s="20"/>
      <c r="H2932" s="27"/>
    </row>
    <row r="2933" spans="3:8" x14ac:dyDescent="0.15">
      <c r="C2933" s="26"/>
      <c r="D2933" s="22"/>
      <c r="E2933" s="20"/>
      <c r="F2933" s="20"/>
      <c r="G2933" s="20"/>
      <c r="H2933" s="27"/>
    </row>
    <row r="2934" spans="3:8" x14ac:dyDescent="0.15">
      <c r="C2934" s="26"/>
      <c r="D2934" s="22"/>
      <c r="E2934" s="20"/>
      <c r="F2934" s="20"/>
      <c r="G2934" s="20"/>
      <c r="H2934" s="27"/>
    </row>
    <row r="2935" spans="3:8" x14ac:dyDescent="0.15">
      <c r="C2935" s="26"/>
      <c r="D2935" s="22"/>
      <c r="E2935" s="20"/>
      <c r="F2935" s="20"/>
      <c r="G2935" s="20"/>
      <c r="H2935" s="27"/>
    </row>
    <row r="2936" spans="3:8" x14ac:dyDescent="0.15">
      <c r="C2936" s="26"/>
      <c r="D2936" s="22"/>
      <c r="E2936" s="20"/>
      <c r="F2936" s="20"/>
      <c r="G2936" s="20"/>
      <c r="H2936" s="27"/>
    </row>
    <row r="2937" spans="3:8" x14ac:dyDescent="0.15">
      <c r="C2937" s="26"/>
      <c r="D2937" s="22"/>
      <c r="E2937" s="20"/>
      <c r="F2937" s="20"/>
      <c r="G2937" s="20"/>
      <c r="H2937" s="27"/>
    </row>
    <row r="2938" spans="3:8" x14ac:dyDescent="0.15">
      <c r="C2938" s="26"/>
      <c r="D2938" s="22"/>
      <c r="E2938" s="20"/>
      <c r="F2938" s="20"/>
      <c r="G2938" s="20"/>
      <c r="H2938" s="27"/>
    </row>
    <row r="2939" spans="3:8" x14ac:dyDescent="0.15">
      <c r="C2939" s="26"/>
      <c r="D2939" s="22"/>
      <c r="E2939" s="20"/>
      <c r="F2939" s="20"/>
      <c r="G2939" s="20"/>
      <c r="H2939" s="27"/>
    </row>
    <row r="2940" spans="3:8" x14ac:dyDescent="0.15">
      <c r="C2940" s="26"/>
      <c r="D2940" s="22"/>
      <c r="E2940" s="20"/>
      <c r="F2940" s="20"/>
      <c r="G2940" s="20"/>
      <c r="H2940" s="27"/>
    </row>
    <row r="2941" spans="3:8" x14ac:dyDescent="0.15">
      <c r="C2941" s="26"/>
      <c r="D2941" s="22"/>
      <c r="E2941" s="20"/>
      <c r="F2941" s="20"/>
      <c r="G2941" s="20"/>
      <c r="H2941" s="27"/>
    </row>
    <row r="2942" spans="3:8" x14ac:dyDescent="0.15">
      <c r="C2942" s="26"/>
      <c r="D2942" s="22"/>
      <c r="E2942" s="20"/>
      <c r="F2942" s="20"/>
      <c r="G2942" s="20"/>
      <c r="H2942" s="27"/>
    </row>
    <row r="2943" spans="3:8" x14ac:dyDescent="0.15">
      <c r="C2943" s="26"/>
      <c r="D2943" s="22"/>
      <c r="E2943" s="20"/>
      <c r="F2943" s="20"/>
      <c r="G2943" s="20"/>
      <c r="H2943" s="27"/>
    </row>
    <row r="2944" spans="3:8" x14ac:dyDescent="0.15">
      <c r="C2944" s="26"/>
      <c r="D2944" s="22"/>
      <c r="E2944" s="20"/>
      <c r="F2944" s="20"/>
      <c r="G2944" s="20"/>
      <c r="H2944" s="27"/>
    </row>
    <row r="2945" spans="3:8" x14ac:dyDescent="0.15">
      <c r="C2945" s="26"/>
      <c r="D2945" s="22"/>
      <c r="E2945" s="20"/>
      <c r="F2945" s="20"/>
      <c r="G2945" s="20"/>
      <c r="H2945" s="27"/>
    </row>
    <row r="2946" spans="3:8" x14ac:dyDescent="0.15">
      <c r="C2946" s="26"/>
      <c r="D2946" s="22"/>
      <c r="E2946" s="20"/>
      <c r="F2946" s="20"/>
      <c r="G2946" s="20"/>
      <c r="H2946" s="27"/>
    </row>
    <row r="2947" spans="3:8" x14ac:dyDescent="0.15">
      <c r="C2947" s="26"/>
      <c r="D2947" s="22"/>
      <c r="E2947" s="20"/>
      <c r="F2947" s="20"/>
      <c r="G2947" s="20"/>
      <c r="H2947" s="27"/>
    </row>
    <row r="2948" spans="3:8" x14ac:dyDescent="0.15">
      <c r="C2948" s="26"/>
      <c r="D2948" s="22"/>
      <c r="E2948" s="20"/>
      <c r="F2948" s="20"/>
      <c r="G2948" s="20"/>
      <c r="H2948" s="27"/>
    </row>
    <row r="2949" spans="3:8" x14ac:dyDescent="0.15">
      <c r="C2949" s="26"/>
      <c r="D2949" s="22"/>
      <c r="E2949" s="20"/>
      <c r="F2949" s="20"/>
      <c r="G2949" s="20"/>
      <c r="H2949" s="27"/>
    </row>
    <row r="2950" spans="3:8" x14ac:dyDescent="0.15">
      <c r="C2950" s="26"/>
      <c r="D2950" s="22"/>
      <c r="E2950" s="20"/>
      <c r="F2950" s="20"/>
      <c r="G2950" s="20"/>
      <c r="H2950" s="27"/>
    </row>
    <row r="2951" spans="3:8" x14ac:dyDescent="0.15">
      <c r="C2951" s="26"/>
      <c r="D2951" s="22"/>
      <c r="E2951" s="20"/>
      <c r="F2951" s="20"/>
      <c r="G2951" s="20"/>
      <c r="H2951" s="27"/>
    </row>
    <row r="2952" spans="3:8" x14ac:dyDescent="0.15">
      <c r="C2952" s="26"/>
      <c r="D2952" s="22"/>
      <c r="E2952" s="20"/>
      <c r="F2952" s="20"/>
      <c r="G2952" s="20"/>
      <c r="H2952" s="27"/>
    </row>
    <row r="2953" spans="3:8" x14ac:dyDescent="0.15">
      <c r="C2953" s="26"/>
      <c r="D2953" s="22"/>
      <c r="E2953" s="20"/>
      <c r="F2953" s="20"/>
      <c r="G2953" s="20"/>
      <c r="H2953" s="27"/>
    </row>
    <row r="2954" spans="3:8" x14ac:dyDescent="0.15">
      <c r="C2954" s="26"/>
      <c r="D2954" s="22"/>
      <c r="E2954" s="20"/>
      <c r="F2954" s="20"/>
      <c r="G2954" s="20"/>
      <c r="H2954" s="27"/>
    </row>
    <row r="2955" spans="3:8" x14ac:dyDescent="0.15">
      <c r="C2955" s="26"/>
      <c r="D2955" s="22"/>
      <c r="E2955" s="20"/>
      <c r="F2955" s="20"/>
      <c r="G2955" s="20"/>
      <c r="H2955" s="27"/>
    </row>
    <row r="2956" spans="3:8" x14ac:dyDescent="0.15">
      <c r="C2956" s="26"/>
      <c r="D2956" s="22"/>
      <c r="E2956" s="20"/>
      <c r="F2956" s="20"/>
      <c r="G2956" s="20"/>
      <c r="H2956" s="27"/>
    </row>
    <row r="2957" spans="3:8" x14ac:dyDescent="0.15">
      <c r="C2957" s="26"/>
      <c r="D2957" s="22"/>
      <c r="E2957" s="20"/>
      <c r="F2957" s="20"/>
      <c r="G2957" s="20"/>
      <c r="H2957" s="27"/>
    </row>
    <row r="2958" spans="3:8" x14ac:dyDescent="0.15">
      <c r="C2958" s="26"/>
      <c r="D2958" s="22"/>
      <c r="E2958" s="20"/>
      <c r="F2958" s="20"/>
      <c r="G2958" s="20"/>
      <c r="H2958" s="27"/>
    </row>
    <row r="2959" spans="3:8" x14ac:dyDescent="0.15">
      <c r="C2959" s="26"/>
      <c r="D2959" s="22"/>
      <c r="E2959" s="20"/>
      <c r="F2959" s="20"/>
      <c r="G2959" s="20"/>
      <c r="H2959" s="27"/>
    </row>
    <row r="2960" spans="3:8" x14ac:dyDescent="0.15">
      <c r="C2960" s="26"/>
      <c r="D2960" s="22"/>
      <c r="E2960" s="20"/>
      <c r="F2960" s="20"/>
      <c r="G2960" s="20"/>
      <c r="H2960" s="27"/>
    </row>
    <row r="2961" spans="3:8" x14ac:dyDescent="0.15">
      <c r="C2961" s="26"/>
      <c r="D2961" s="22"/>
      <c r="E2961" s="20"/>
      <c r="F2961" s="20"/>
      <c r="G2961" s="20"/>
      <c r="H2961" s="27"/>
    </row>
    <row r="2962" spans="3:8" x14ac:dyDescent="0.15">
      <c r="C2962" s="26"/>
      <c r="D2962" s="22"/>
      <c r="E2962" s="20"/>
      <c r="F2962" s="20"/>
      <c r="G2962" s="20"/>
      <c r="H2962" s="27"/>
    </row>
    <row r="2963" spans="3:8" x14ac:dyDescent="0.15">
      <c r="C2963" s="26"/>
      <c r="D2963" s="22"/>
      <c r="E2963" s="20"/>
      <c r="F2963" s="20"/>
      <c r="G2963" s="20"/>
      <c r="H2963" s="27"/>
    </row>
    <row r="2964" spans="3:8" x14ac:dyDescent="0.15">
      <c r="C2964" s="26"/>
      <c r="D2964" s="22"/>
      <c r="E2964" s="20"/>
      <c r="F2964" s="20"/>
      <c r="G2964" s="20"/>
      <c r="H2964" s="27"/>
    </row>
    <row r="2965" spans="3:8" x14ac:dyDescent="0.15">
      <c r="C2965" s="26"/>
      <c r="D2965" s="22"/>
      <c r="E2965" s="20"/>
      <c r="F2965" s="20"/>
      <c r="G2965" s="20"/>
      <c r="H2965" s="27"/>
    </row>
    <row r="2966" spans="3:8" x14ac:dyDescent="0.15">
      <c r="C2966" s="26"/>
      <c r="D2966" s="22"/>
      <c r="E2966" s="20"/>
      <c r="F2966" s="20"/>
      <c r="G2966" s="20"/>
      <c r="H2966" s="27"/>
    </row>
    <row r="2967" spans="3:8" x14ac:dyDescent="0.15">
      <c r="C2967" s="26"/>
      <c r="D2967" s="22"/>
      <c r="E2967" s="20"/>
      <c r="F2967" s="20"/>
      <c r="G2967" s="20"/>
      <c r="H2967" s="27"/>
    </row>
    <row r="2968" spans="3:8" x14ac:dyDescent="0.15">
      <c r="C2968" s="26"/>
      <c r="D2968" s="22"/>
      <c r="E2968" s="20"/>
      <c r="F2968" s="20"/>
      <c r="G2968" s="20"/>
      <c r="H2968" s="27"/>
    </row>
    <row r="2969" spans="3:8" x14ac:dyDescent="0.15">
      <c r="C2969" s="26"/>
      <c r="D2969" s="22"/>
      <c r="E2969" s="20"/>
      <c r="F2969" s="20"/>
      <c r="G2969" s="20"/>
      <c r="H2969" s="27"/>
    </row>
    <row r="2970" spans="3:8" x14ac:dyDescent="0.15">
      <c r="C2970" s="26"/>
      <c r="D2970" s="22"/>
      <c r="E2970" s="20"/>
      <c r="F2970" s="20"/>
      <c r="G2970" s="20"/>
      <c r="H2970" s="27"/>
    </row>
    <row r="2971" spans="3:8" x14ac:dyDescent="0.15">
      <c r="C2971" s="26"/>
      <c r="D2971" s="22"/>
      <c r="E2971" s="20"/>
      <c r="F2971" s="20"/>
      <c r="G2971" s="20"/>
      <c r="H2971" s="27"/>
    </row>
    <row r="2972" spans="3:8" x14ac:dyDescent="0.15">
      <c r="C2972" s="26"/>
      <c r="D2972" s="22"/>
      <c r="E2972" s="20"/>
      <c r="F2972" s="20"/>
      <c r="G2972" s="20"/>
      <c r="H2972" s="27"/>
    </row>
    <row r="2973" spans="3:8" x14ac:dyDescent="0.15">
      <c r="C2973" s="26"/>
      <c r="D2973" s="22"/>
      <c r="E2973" s="20"/>
      <c r="F2973" s="20"/>
      <c r="G2973" s="20"/>
      <c r="H2973" s="27"/>
    </row>
    <row r="2974" spans="3:8" x14ac:dyDescent="0.15">
      <c r="C2974" s="26"/>
      <c r="D2974" s="22"/>
      <c r="E2974" s="20"/>
      <c r="F2974" s="20"/>
      <c r="G2974" s="20"/>
      <c r="H2974" s="27"/>
    </row>
    <row r="2975" spans="3:8" x14ac:dyDescent="0.15">
      <c r="C2975" s="26"/>
      <c r="D2975" s="22"/>
      <c r="E2975" s="20"/>
      <c r="F2975" s="20"/>
      <c r="G2975" s="20"/>
      <c r="H2975" s="27"/>
    </row>
    <row r="2976" spans="3:8" x14ac:dyDescent="0.15">
      <c r="C2976" s="26"/>
      <c r="D2976" s="22"/>
      <c r="E2976" s="20"/>
      <c r="F2976" s="20"/>
      <c r="G2976" s="20"/>
      <c r="H2976" s="27"/>
    </row>
    <row r="2977" spans="3:8" x14ac:dyDescent="0.15">
      <c r="C2977" s="26"/>
      <c r="D2977" s="22"/>
      <c r="E2977" s="20"/>
      <c r="F2977" s="20"/>
      <c r="G2977" s="20"/>
      <c r="H2977" s="27"/>
    </row>
    <row r="2978" spans="3:8" x14ac:dyDescent="0.15">
      <c r="C2978" s="26"/>
      <c r="D2978" s="22"/>
      <c r="E2978" s="20"/>
      <c r="F2978" s="20"/>
      <c r="G2978" s="20"/>
      <c r="H2978" s="27"/>
    </row>
    <row r="2979" spans="3:8" x14ac:dyDescent="0.15">
      <c r="C2979" s="26"/>
      <c r="D2979" s="22"/>
      <c r="E2979" s="20"/>
      <c r="F2979" s="20"/>
      <c r="G2979" s="20"/>
      <c r="H2979" s="27"/>
    </row>
    <row r="2980" spans="3:8" x14ac:dyDescent="0.15">
      <c r="C2980" s="26"/>
      <c r="D2980" s="22"/>
      <c r="E2980" s="20"/>
      <c r="F2980" s="20"/>
      <c r="G2980" s="20"/>
      <c r="H2980" s="27"/>
    </row>
    <row r="2981" spans="3:8" x14ac:dyDescent="0.15">
      <c r="C2981" s="26"/>
      <c r="D2981" s="22"/>
      <c r="E2981" s="20"/>
      <c r="F2981" s="20"/>
      <c r="G2981" s="20"/>
      <c r="H2981" s="27"/>
    </row>
    <row r="2982" spans="3:8" x14ac:dyDescent="0.15">
      <c r="C2982" s="26"/>
      <c r="D2982" s="22"/>
      <c r="E2982" s="20"/>
      <c r="F2982" s="20"/>
      <c r="G2982" s="20"/>
      <c r="H2982" s="27"/>
    </row>
    <row r="2983" spans="3:8" x14ac:dyDescent="0.15">
      <c r="C2983" s="26"/>
      <c r="D2983" s="22"/>
      <c r="E2983" s="20"/>
      <c r="F2983" s="20"/>
      <c r="G2983" s="20"/>
      <c r="H2983" s="27"/>
    </row>
    <row r="2984" spans="3:8" x14ac:dyDescent="0.15">
      <c r="C2984" s="26"/>
      <c r="D2984" s="22"/>
      <c r="E2984" s="20"/>
      <c r="F2984" s="20"/>
      <c r="G2984" s="20"/>
      <c r="H2984" s="27"/>
    </row>
    <row r="2985" spans="3:8" x14ac:dyDescent="0.15">
      <c r="C2985" s="26"/>
      <c r="D2985" s="22"/>
      <c r="E2985" s="20"/>
      <c r="F2985" s="20"/>
      <c r="G2985" s="20"/>
      <c r="H2985" s="27"/>
    </row>
    <row r="2986" spans="3:8" x14ac:dyDescent="0.15">
      <c r="C2986" s="26"/>
      <c r="D2986" s="22"/>
      <c r="E2986" s="20"/>
      <c r="F2986" s="20"/>
      <c r="G2986" s="20"/>
      <c r="H2986" s="27"/>
    </row>
    <row r="2987" spans="3:8" x14ac:dyDescent="0.15">
      <c r="C2987" s="26"/>
      <c r="D2987" s="22"/>
      <c r="E2987" s="20"/>
      <c r="F2987" s="20"/>
      <c r="G2987" s="20"/>
      <c r="H2987" s="27"/>
    </row>
    <row r="2988" spans="3:8" x14ac:dyDescent="0.15">
      <c r="C2988" s="26"/>
      <c r="D2988" s="22"/>
      <c r="E2988" s="20"/>
      <c r="F2988" s="20"/>
      <c r="G2988" s="20"/>
      <c r="H2988" s="27"/>
    </row>
    <row r="2989" spans="3:8" x14ac:dyDescent="0.15">
      <c r="C2989" s="26"/>
      <c r="D2989" s="22"/>
      <c r="E2989" s="20"/>
      <c r="F2989" s="20"/>
      <c r="G2989" s="20"/>
      <c r="H2989" s="27"/>
    </row>
    <row r="2990" spans="3:8" x14ac:dyDescent="0.15">
      <c r="C2990" s="26"/>
      <c r="D2990" s="22"/>
      <c r="E2990" s="20"/>
      <c r="F2990" s="20"/>
      <c r="G2990" s="20"/>
      <c r="H2990" s="27"/>
    </row>
    <row r="2991" spans="3:8" x14ac:dyDescent="0.15">
      <c r="C2991" s="26"/>
      <c r="D2991" s="22"/>
      <c r="E2991" s="20"/>
      <c r="F2991" s="20"/>
      <c r="G2991" s="20"/>
      <c r="H2991" s="27"/>
    </row>
    <row r="2992" spans="3:8" x14ac:dyDescent="0.15">
      <c r="C2992" s="26"/>
      <c r="D2992" s="22"/>
      <c r="E2992" s="20"/>
      <c r="F2992" s="20"/>
      <c r="G2992" s="20"/>
      <c r="H2992" s="27"/>
    </row>
    <row r="2993" spans="3:8" x14ac:dyDescent="0.15">
      <c r="C2993" s="26"/>
      <c r="D2993" s="22"/>
      <c r="E2993" s="20"/>
      <c r="F2993" s="20"/>
      <c r="G2993" s="20"/>
      <c r="H2993" s="27"/>
    </row>
    <row r="2994" spans="3:8" x14ac:dyDescent="0.15">
      <c r="C2994" s="26"/>
      <c r="D2994" s="22"/>
      <c r="E2994" s="20"/>
      <c r="F2994" s="20"/>
      <c r="G2994" s="20"/>
      <c r="H2994" s="27"/>
    </row>
    <row r="2995" spans="3:8" x14ac:dyDescent="0.15">
      <c r="C2995" s="26"/>
      <c r="D2995" s="22"/>
      <c r="E2995" s="20"/>
      <c r="F2995" s="20"/>
      <c r="G2995" s="20"/>
      <c r="H2995" s="27"/>
    </row>
    <row r="2996" spans="3:8" x14ac:dyDescent="0.15">
      <c r="C2996" s="26"/>
      <c r="D2996" s="22"/>
      <c r="E2996" s="20"/>
      <c r="F2996" s="20"/>
      <c r="G2996" s="20"/>
      <c r="H2996" s="27"/>
    </row>
    <row r="2997" spans="3:8" x14ac:dyDescent="0.15">
      <c r="C2997" s="26"/>
      <c r="D2997" s="22"/>
      <c r="E2997" s="20"/>
      <c r="F2997" s="20"/>
      <c r="G2997" s="20"/>
      <c r="H2997" s="27"/>
    </row>
    <row r="2998" spans="3:8" x14ac:dyDescent="0.15">
      <c r="C2998" s="26"/>
      <c r="D2998" s="22"/>
      <c r="E2998" s="20"/>
      <c r="F2998" s="20"/>
      <c r="G2998" s="20"/>
      <c r="H2998" s="27"/>
    </row>
    <row r="2999" spans="3:8" x14ac:dyDescent="0.15">
      <c r="C2999" s="26"/>
      <c r="D2999" s="22"/>
      <c r="E2999" s="20"/>
      <c r="F2999" s="20"/>
      <c r="G2999" s="20"/>
      <c r="H2999" s="27"/>
    </row>
    <row r="3000" spans="3:8" x14ac:dyDescent="0.15">
      <c r="C3000" s="26"/>
      <c r="D3000" s="22"/>
      <c r="E3000" s="20"/>
      <c r="F3000" s="20"/>
      <c r="G3000" s="20"/>
      <c r="H3000" s="27"/>
    </row>
    <row r="3001" spans="3:8" x14ac:dyDescent="0.15">
      <c r="C3001" s="26"/>
      <c r="D3001" s="22"/>
      <c r="E3001" s="20"/>
      <c r="F3001" s="20"/>
      <c r="G3001" s="20"/>
      <c r="H3001" s="27"/>
    </row>
    <row r="3002" spans="3:8" x14ac:dyDescent="0.15">
      <c r="C3002" s="26"/>
      <c r="D3002" s="22"/>
      <c r="E3002" s="20"/>
      <c r="F3002" s="20"/>
      <c r="G3002" s="20"/>
      <c r="H3002" s="27"/>
    </row>
    <row r="3003" spans="3:8" x14ac:dyDescent="0.15">
      <c r="C3003" s="26"/>
      <c r="D3003" s="22"/>
      <c r="E3003" s="20"/>
      <c r="F3003" s="20"/>
      <c r="G3003" s="20"/>
      <c r="H3003" s="27"/>
    </row>
    <row r="3004" spans="3:8" x14ac:dyDescent="0.15">
      <c r="C3004" s="26"/>
      <c r="D3004" s="22"/>
      <c r="E3004" s="20"/>
      <c r="F3004" s="20"/>
      <c r="G3004" s="20"/>
      <c r="H3004" s="27"/>
    </row>
    <row r="3005" spans="3:8" x14ac:dyDescent="0.15">
      <c r="C3005" s="26"/>
      <c r="D3005" s="22"/>
      <c r="E3005" s="20"/>
      <c r="F3005" s="20"/>
      <c r="G3005" s="20"/>
      <c r="H3005" s="27"/>
    </row>
  </sheetData>
  <sortState xmlns:xlrd2="http://schemas.microsoft.com/office/spreadsheetml/2017/richdata2" ref="C13:H88">
    <sortCondition ref="C13:C88"/>
  </sortState>
  <mergeCells count="15">
    <mergeCell ref="I3:J3"/>
    <mergeCell ref="G4:H4"/>
    <mergeCell ref="D1:G1"/>
    <mergeCell ref="C11:H11"/>
    <mergeCell ref="D9:G9"/>
    <mergeCell ref="I4:J4"/>
    <mergeCell ref="I5:J6"/>
    <mergeCell ref="A7:I8"/>
    <mergeCell ref="J11:K11"/>
    <mergeCell ref="A3:B6"/>
    <mergeCell ref="C3:F4"/>
    <mergeCell ref="C5:F5"/>
    <mergeCell ref="C6:F6"/>
    <mergeCell ref="G3:H3"/>
    <mergeCell ref="G5:H6"/>
  </mergeCells>
  <dataValidations disablePrompts="1" count="1">
    <dataValidation type="list" showInputMessage="1" showErrorMessage="1" sqref="D13:D3005" xr:uid="{00000000-0002-0000-0000-000000000000}">
      <formula1>$J$13:$J$54</formula1>
    </dataValidation>
  </dataValidations>
  <pageMargins left="0.25" right="0.25" top="0.46" bottom="0.26" header="0.31496062992125984" footer="0.31496062992125984"/>
  <pageSetup scale="90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2:O3008"/>
  <sheetViews>
    <sheetView showGridLines="0" zoomScale="90" zoomScaleNormal="90" workbookViewId="0">
      <selection activeCell="D29" sqref="D29"/>
    </sheetView>
  </sheetViews>
  <sheetFormatPr baseColWidth="10" defaultColWidth="11.5" defaultRowHeight="14" x14ac:dyDescent="0.15"/>
  <cols>
    <col min="1" max="1" width="11.5" style="5"/>
    <col min="2" max="2" width="6.83203125" style="5" customWidth="1"/>
    <col min="3" max="3" width="11.5" style="7"/>
    <col min="4" max="4" width="29.5" style="5" customWidth="1"/>
    <col min="5" max="5" width="11.83203125" style="9" customWidth="1"/>
    <col min="6" max="6" width="15.83203125" style="8" customWidth="1"/>
    <col min="7" max="8" width="15" style="7" customWidth="1"/>
    <col min="9" max="9" width="12" style="8" customWidth="1"/>
    <col min="10" max="10" width="26.5" style="5" hidden="1" customWidth="1"/>
    <col min="11" max="11" width="0.6640625" style="5" hidden="1" customWidth="1"/>
    <col min="12" max="12" width="8" style="5" bestFit="1" customWidth="1"/>
    <col min="13" max="16384" width="11.5" style="5"/>
  </cols>
  <sheetData>
    <row r="2" spans="1:15" ht="15" customHeight="1" thickBot="1" x14ac:dyDescent="0.2">
      <c r="B2" s="28"/>
      <c r="C2" s="80"/>
      <c r="D2" s="80"/>
      <c r="E2" s="80"/>
      <c r="F2" s="5"/>
      <c r="G2" s="5"/>
      <c r="H2" s="5"/>
      <c r="I2" s="5"/>
    </row>
    <row r="3" spans="1:15" s="1" customFormat="1" ht="15" customHeight="1" x14ac:dyDescent="0.15">
      <c r="A3" s="86" t="s">
        <v>0</v>
      </c>
      <c r="B3" s="87"/>
      <c r="C3" s="92" t="s">
        <v>40</v>
      </c>
      <c r="D3" s="92"/>
      <c r="E3" s="92"/>
      <c r="F3" s="92"/>
      <c r="G3" s="94" t="s">
        <v>31</v>
      </c>
      <c r="H3" s="94"/>
      <c r="I3" s="94">
        <f>+INPUT!H3</f>
        <v>0</v>
      </c>
      <c r="J3" s="97"/>
      <c r="K3" s="83"/>
      <c r="L3" s="38"/>
      <c r="M3" s="30"/>
      <c r="N3" s="30"/>
      <c r="O3" s="33"/>
    </row>
    <row r="4" spans="1:15" s="1" customFormat="1" ht="15" customHeight="1" x14ac:dyDescent="0.15">
      <c r="A4" s="88"/>
      <c r="B4" s="89"/>
      <c r="C4" s="93"/>
      <c r="D4" s="93"/>
      <c r="E4" s="93"/>
      <c r="F4" s="93"/>
      <c r="G4" s="98" t="s">
        <v>32</v>
      </c>
      <c r="H4" s="98"/>
      <c r="I4" s="98">
        <f>+INPUT!H4</f>
        <v>0</v>
      </c>
      <c r="J4" s="104"/>
      <c r="K4" s="84"/>
      <c r="L4" s="38"/>
      <c r="M4" s="30"/>
      <c r="N4" s="30"/>
      <c r="O4" s="33"/>
    </row>
    <row r="5" spans="1:15" s="1" customFormat="1" ht="15" customHeight="1" x14ac:dyDescent="0.15">
      <c r="A5" s="88"/>
      <c r="B5" s="89"/>
      <c r="C5" s="93" t="s">
        <v>34</v>
      </c>
      <c r="D5" s="93"/>
      <c r="E5" s="93"/>
      <c r="F5" s="93"/>
      <c r="G5" s="95" t="s">
        <v>33</v>
      </c>
      <c r="H5" s="95"/>
      <c r="I5" s="95">
        <f>+INPUT!H5</f>
        <v>0</v>
      </c>
      <c r="J5" s="105"/>
      <c r="K5" s="39"/>
      <c r="L5" s="39"/>
      <c r="M5" s="31"/>
      <c r="N5" s="31"/>
      <c r="O5" s="33"/>
    </row>
    <row r="6" spans="1:15" s="1" customFormat="1" ht="15" customHeight="1" thickBot="1" x14ac:dyDescent="0.2">
      <c r="A6" s="90"/>
      <c r="B6" s="91"/>
      <c r="C6" s="91" t="s">
        <v>41</v>
      </c>
      <c r="D6" s="91"/>
      <c r="E6" s="91"/>
      <c r="F6" s="91"/>
      <c r="G6" s="96"/>
      <c r="H6" s="96"/>
      <c r="I6" s="96"/>
      <c r="J6" s="106"/>
      <c r="K6" s="85"/>
      <c r="L6" s="39"/>
      <c r="M6" s="31"/>
      <c r="N6" s="31"/>
      <c r="O6" s="33"/>
    </row>
    <row r="7" spans="1:15" ht="15" customHeight="1" x14ac:dyDescent="0.15">
      <c r="A7" s="113" t="s">
        <v>46</v>
      </c>
      <c r="B7" s="113"/>
      <c r="C7" s="113"/>
      <c r="D7" s="113"/>
      <c r="E7" s="113"/>
      <c r="F7" s="113"/>
      <c r="G7" s="113"/>
      <c r="H7" s="113"/>
      <c r="I7" s="113"/>
      <c r="J7" s="40"/>
      <c r="K7" s="40"/>
      <c r="L7" s="40"/>
    </row>
    <row r="8" spans="1:15" x14ac:dyDescent="0.15">
      <c r="A8" s="108"/>
      <c r="B8" s="108"/>
      <c r="C8" s="108"/>
      <c r="D8" s="108"/>
      <c r="E8" s="108"/>
      <c r="F8" s="108"/>
      <c r="G8" s="108"/>
      <c r="H8" s="108"/>
      <c r="I8" s="108"/>
      <c r="J8" s="40"/>
      <c r="K8" s="40"/>
      <c r="L8" s="40"/>
    </row>
    <row r="9" spans="1:15" ht="15" customHeight="1" x14ac:dyDescent="0.15">
      <c r="A9" s="108"/>
      <c r="B9" s="108"/>
      <c r="C9" s="108"/>
      <c r="D9" s="108"/>
      <c r="E9" s="108"/>
      <c r="F9" s="108"/>
      <c r="G9" s="108"/>
      <c r="H9" s="108"/>
      <c r="I9" s="108"/>
    </row>
    <row r="10" spans="1:15" ht="15" customHeight="1" thickBot="1" x14ac:dyDescent="0.2">
      <c r="C10" s="81"/>
      <c r="G10" s="81"/>
      <c r="H10" s="81"/>
    </row>
    <row r="11" spans="1:15" s="75" customFormat="1" ht="21.75" customHeight="1" x14ac:dyDescent="0.2">
      <c r="C11" s="100" t="s">
        <v>47</v>
      </c>
      <c r="D11" s="101"/>
      <c r="E11" s="101"/>
      <c r="F11" s="101"/>
      <c r="G11" s="101"/>
      <c r="H11" s="102"/>
      <c r="I11" s="42"/>
      <c r="J11" s="111" t="s">
        <v>4</v>
      </c>
      <c r="K11" s="112"/>
    </row>
    <row r="12" spans="1:15" s="15" customFormat="1" ht="76" thickBot="1" x14ac:dyDescent="0.25">
      <c r="C12" s="10" t="s">
        <v>50</v>
      </c>
      <c r="D12" s="11" t="s">
        <v>37</v>
      </c>
      <c r="E12" s="12" t="s">
        <v>51</v>
      </c>
      <c r="F12" s="13" t="s">
        <v>52</v>
      </c>
      <c r="G12" s="12" t="s">
        <v>53</v>
      </c>
      <c r="H12" s="14" t="s">
        <v>54</v>
      </c>
      <c r="I12" s="42"/>
      <c r="J12" s="77" t="s">
        <v>2</v>
      </c>
      <c r="K12" s="79" t="s">
        <v>3</v>
      </c>
    </row>
    <row r="13" spans="1:15" x14ac:dyDescent="0.15">
      <c r="C13" s="43"/>
      <c r="D13" s="44"/>
      <c r="E13" s="45"/>
      <c r="F13" s="46"/>
      <c r="G13" s="47"/>
      <c r="H13" s="47"/>
      <c r="I13" s="48"/>
      <c r="J13" s="29">
        <f>STOCK!C13</f>
        <v>0</v>
      </c>
      <c r="K13" s="20">
        <f>SUMIFS(E10:E2510,D10:D2510,J13)</f>
        <v>0</v>
      </c>
    </row>
    <row r="14" spans="1:15" x14ac:dyDescent="0.15">
      <c r="C14" s="49"/>
      <c r="D14" s="50"/>
      <c r="E14" s="51"/>
      <c r="F14" s="52"/>
      <c r="G14" s="53"/>
      <c r="H14" s="53"/>
      <c r="I14" s="48"/>
      <c r="J14" s="29">
        <f>STOCK!C14</f>
        <v>0</v>
      </c>
      <c r="K14" s="20">
        <f>SUMIFS(E10:E2510,D10:D2510,J14)</f>
        <v>0</v>
      </c>
      <c r="L14" s="41"/>
    </row>
    <row r="15" spans="1:15" x14ac:dyDescent="0.15">
      <c r="C15" s="49"/>
      <c r="D15" s="50"/>
      <c r="E15" s="51"/>
      <c r="F15" s="52"/>
      <c r="G15" s="53"/>
      <c r="H15" s="53"/>
      <c r="I15" s="48"/>
      <c r="J15" s="29">
        <f>STOCK!C15</f>
        <v>0</v>
      </c>
      <c r="K15" s="20">
        <f>SUMIFS(E10:E2510,D10:D2510,J15)</f>
        <v>0</v>
      </c>
      <c r="L15" s="54"/>
    </row>
    <row r="16" spans="1:15" x14ac:dyDescent="0.15">
      <c r="C16" s="49"/>
      <c r="D16" s="50"/>
      <c r="E16" s="51"/>
      <c r="F16" s="52"/>
      <c r="G16" s="53"/>
      <c r="H16" s="53"/>
      <c r="I16" s="48"/>
      <c r="J16" s="29">
        <f>STOCK!C16</f>
        <v>0</v>
      </c>
      <c r="K16" s="20">
        <f>SUMIFS(E10:E2510,D10:D2510,J16)</f>
        <v>0</v>
      </c>
      <c r="L16" s="55"/>
    </row>
    <row r="17" spans="3:12" x14ac:dyDescent="0.15">
      <c r="C17" s="49"/>
      <c r="D17" s="50"/>
      <c r="E17" s="51"/>
      <c r="F17" s="52"/>
      <c r="G17" s="53"/>
      <c r="H17" s="53"/>
      <c r="I17" s="48"/>
      <c r="J17" s="29">
        <f>STOCK!C17</f>
        <v>0</v>
      </c>
      <c r="K17" s="20">
        <f>SUMIFS(E10:E2510,D10:D2510,J17)</f>
        <v>0</v>
      </c>
      <c r="L17" s="55"/>
    </row>
    <row r="18" spans="3:12" x14ac:dyDescent="0.15">
      <c r="C18" s="49"/>
      <c r="D18" s="50"/>
      <c r="E18" s="51"/>
      <c r="F18" s="52"/>
      <c r="G18" s="53"/>
      <c r="H18" s="53"/>
      <c r="I18" s="48"/>
      <c r="J18" s="29">
        <f>STOCK!C18</f>
        <v>0</v>
      </c>
      <c r="K18" s="20">
        <f>SUMIFS(E10:E2510,D10:D2510,J18)</f>
        <v>0</v>
      </c>
      <c r="L18" s="55"/>
    </row>
    <row r="19" spans="3:12" x14ac:dyDescent="0.15">
      <c r="C19" s="49"/>
      <c r="D19" s="50"/>
      <c r="E19" s="51"/>
      <c r="F19" s="52"/>
      <c r="G19" s="53"/>
      <c r="H19" s="53"/>
      <c r="I19" s="48"/>
      <c r="J19" s="29">
        <f>STOCK!C19</f>
        <v>0</v>
      </c>
      <c r="K19" s="20">
        <f>SUMIFS(E10:E2510,D10:D2510,J19)</f>
        <v>0</v>
      </c>
      <c r="L19" s="55"/>
    </row>
    <row r="20" spans="3:12" x14ac:dyDescent="0.15">
      <c r="C20" s="49"/>
      <c r="D20" s="50"/>
      <c r="E20" s="51"/>
      <c r="F20" s="52"/>
      <c r="G20" s="53"/>
      <c r="H20" s="53"/>
      <c r="I20" s="48"/>
      <c r="J20" s="29">
        <f>STOCK!C20</f>
        <v>0</v>
      </c>
      <c r="K20" s="20">
        <f>SUMIFS(E10:E2510,D10:D2510,J20)</f>
        <v>0</v>
      </c>
      <c r="L20" s="55"/>
    </row>
    <row r="21" spans="3:12" x14ac:dyDescent="0.15">
      <c r="C21" s="49"/>
      <c r="D21" s="50"/>
      <c r="E21" s="51"/>
      <c r="F21" s="52"/>
      <c r="G21" s="53"/>
      <c r="H21" s="53"/>
      <c r="I21" s="48"/>
      <c r="J21" s="29">
        <f>STOCK!C21</f>
        <v>0</v>
      </c>
      <c r="K21" s="20">
        <f>SUMIFS(E10:E2510,D10:D2510,J21)</f>
        <v>0</v>
      </c>
      <c r="L21" s="55"/>
    </row>
    <row r="22" spans="3:12" x14ac:dyDescent="0.15">
      <c r="C22" s="49"/>
      <c r="D22" s="50"/>
      <c r="E22" s="51"/>
      <c r="F22" s="52"/>
      <c r="G22" s="53"/>
      <c r="H22" s="53"/>
      <c r="I22" s="48"/>
      <c r="J22" s="29">
        <f>STOCK!C22</f>
        <v>0</v>
      </c>
      <c r="K22" s="20">
        <f>SUMIFS(E10:E2510,D10:D2510,J22)</f>
        <v>0</v>
      </c>
      <c r="L22" s="55"/>
    </row>
    <row r="23" spans="3:12" x14ac:dyDescent="0.15">
      <c r="C23" s="49"/>
      <c r="D23" s="50"/>
      <c r="E23" s="51"/>
      <c r="F23" s="52"/>
      <c r="G23" s="53"/>
      <c r="H23" s="53"/>
      <c r="I23" s="48"/>
      <c r="J23" s="29">
        <f>STOCK!C23</f>
        <v>0</v>
      </c>
      <c r="K23" s="20">
        <f>SUMIFS(E10:E2510,D10:D2510,J23)</f>
        <v>0</v>
      </c>
      <c r="L23" s="55"/>
    </row>
    <row r="24" spans="3:12" x14ac:dyDescent="0.15">
      <c r="C24" s="49"/>
      <c r="D24" s="50"/>
      <c r="E24" s="51"/>
      <c r="F24" s="52"/>
      <c r="G24" s="53"/>
      <c r="H24" s="53"/>
      <c r="I24" s="48"/>
      <c r="J24" s="29">
        <f>STOCK!C24</f>
        <v>0</v>
      </c>
      <c r="K24" s="20">
        <f>SUMIFS(E10:E2510,D10:D2510,J24)</f>
        <v>0</v>
      </c>
      <c r="L24" s="55"/>
    </row>
    <row r="25" spans="3:12" x14ac:dyDescent="0.15">
      <c r="C25" s="49"/>
      <c r="D25" s="50"/>
      <c r="E25" s="51"/>
      <c r="F25" s="52"/>
      <c r="G25" s="53"/>
      <c r="H25" s="53"/>
      <c r="I25" s="48"/>
      <c r="J25" s="29">
        <f>STOCK!C25</f>
        <v>0</v>
      </c>
      <c r="K25" s="20">
        <f>SUMIFS(E10:E2510,D10:D2510,J25)</f>
        <v>0</v>
      </c>
      <c r="L25" s="55"/>
    </row>
    <row r="26" spans="3:12" x14ac:dyDescent="0.15">
      <c r="C26" s="49"/>
      <c r="D26" s="50"/>
      <c r="E26" s="51"/>
      <c r="F26" s="52"/>
      <c r="G26" s="53"/>
      <c r="H26" s="53"/>
      <c r="I26" s="48"/>
      <c r="J26" s="29">
        <f>STOCK!C26</f>
        <v>0</v>
      </c>
      <c r="K26" s="20">
        <f>SUMIFS(E10:E2510,D10:D2510,J26)</f>
        <v>0</v>
      </c>
      <c r="L26" s="55"/>
    </row>
    <row r="27" spans="3:12" x14ac:dyDescent="0.15">
      <c r="C27" s="49"/>
      <c r="D27" s="50"/>
      <c r="E27" s="51"/>
      <c r="F27" s="52"/>
      <c r="G27" s="53"/>
      <c r="H27" s="53"/>
      <c r="I27" s="48"/>
      <c r="J27" s="29">
        <f>STOCK!C27</f>
        <v>0</v>
      </c>
      <c r="K27" s="20">
        <f>SUMIFS(E10:E2510,D10:D2510,J27)</f>
        <v>0</v>
      </c>
      <c r="L27" s="55"/>
    </row>
    <row r="28" spans="3:12" x14ac:dyDescent="0.15">
      <c r="C28" s="49"/>
      <c r="D28" s="50"/>
      <c r="E28" s="51"/>
      <c r="F28" s="52"/>
      <c r="G28" s="53"/>
      <c r="H28" s="53"/>
      <c r="I28" s="48"/>
      <c r="J28" s="29">
        <f>STOCK!C28</f>
        <v>0</v>
      </c>
      <c r="K28" s="20">
        <f>SUMIFS(E10:E2510,D10:D2510,J28)</f>
        <v>0</v>
      </c>
      <c r="L28" s="55"/>
    </row>
    <row r="29" spans="3:12" x14ac:dyDescent="0.15">
      <c r="C29" s="49"/>
      <c r="D29" s="50"/>
      <c r="E29" s="51"/>
      <c r="F29" s="52"/>
      <c r="G29" s="53"/>
      <c r="H29" s="53"/>
      <c r="I29" s="48"/>
      <c r="J29" s="29">
        <f>STOCK!C29</f>
        <v>0</v>
      </c>
      <c r="K29" s="20">
        <f>SUMIFS(E10:E2510,D10:D2510,J29)</f>
        <v>0</v>
      </c>
      <c r="L29" s="55"/>
    </row>
    <row r="30" spans="3:12" x14ac:dyDescent="0.15">
      <c r="C30" s="49"/>
      <c r="D30" s="50"/>
      <c r="E30" s="51"/>
      <c r="F30" s="52"/>
      <c r="G30" s="53"/>
      <c r="H30" s="53"/>
      <c r="I30" s="48"/>
      <c r="J30" s="29">
        <f>STOCK!C30</f>
        <v>0</v>
      </c>
      <c r="K30" s="20">
        <f>SUMIFS(E10:E2510,D10:D2510,J30)</f>
        <v>0</v>
      </c>
      <c r="L30" s="55"/>
    </row>
    <row r="31" spans="3:12" x14ac:dyDescent="0.15">
      <c r="C31" s="49"/>
      <c r="D31" s="50"/>
      <c r="E31" s="51"/>
      <c r="F31" s="52"/>
      <c r="G31" s="53"/>
      <c r="H31" s="53"/>
      <c r="I31" s="48"/>
      <c r="J31" s="29">
        <f>STOCK!C31</f>
        <v>0</v>
      </c>
      <c r="K31" s="20">
        <f>SUMIFS(E10:E2510,D10:D2510,J31)</f>
        <v>0</v>
      </c>
      <c r="L31" s="55"/>
    </row>
    <row r="32" spans="3:12" x14ac:dyDescent="0.15">
      <c r="C32" s="49"/>
      <c r="D32" s="50"/>
      <c r="E32" s="51"/>
      <c r="F32" s="52"/>
      <c r="G32" s="53"/>
      <c r="H32" s="53"/>
      <c r="I32" s="48"/>
      <c r="J32" s="29">
        <f>STOCK!C32</f>
        <v>0</v>
      </c>
      <c r="K32" s="20">
        <f>SUMIFS(E10:E2510,D10:D2510,J32)</f>
        <v>0</v>
      </c>
      <c r="L32" s="55"/>
    </row>
    <row r="33" spans="3:12" x14ac:dyDescent="0.15">
      <c r="C33" s="49"/>
      <c r="D33" s="50"/>
      <c r="E33" s="51"/>
      <c r="F33" s="52"/>
      <c r="G33" s="53"/>
      <c r="H33" s="53"/>
      <c r="I33" s="48"/>
      <c r="J33" s="29">
        <f>STOCK!C33</f>
        <v>0</v>
      </c>
      <c r="K33" s="25">
        <f>SUMIFS(E10:E2510,D10:D2510,J33)</f>
        <v>0</v>
      </c>
      <c r="L33" s="55"/>
    </row>
    <row r="34" spans="3:12" x14ac:dyDescent="0.15">
      <c r="C34" s="49"/>
      <c r="D34" s="50"/>
      <c r="E34" s="51"/>
      <c r="F34" s="52"/>
      <c r="G34" s="53"/>
      <c r="H34" s="53"/>
      <c r="I34" s="48"/>
      <c r="J34" s="29">
        <f>STOCK!C34</f>
        <v>0</v>
      </c>
      <c r="K34" s="25">
        <f>SUMIFS(E10:E2510,D10:D2510,J34)</f>
        <v>0</v>
      </c>
      <c r="L34" s="55"/>
    </row>
    <row r="35" spans="3:12" x14ac:dyDescent="0.15">
      <c r="C35" s="49"/>
      <c r="D35" s="50"/>
      <c r="E35" s="51"/>
      <c r="F35" s="52"/>
      <c r="G35" s="53"/>
      <c r="H35" s="53"/>
      <c r="I35" s="48"/>
      <c r="J35" s="29">
        <f>STOCK!C35</f>
        <v>0</v>
      </c>
      <c r="K35" s="25">
        <f>SUMIFS(E10:E2510,D10:D2510,J35)</f>
        <v>0</v>
      </c>
      <c r="L35" s="55"/>
    </row>
    <row r="36" spans="3:12" x14ac:dyDescent="0.15">
      <c r="C36" s="49"/>
      <c r="D36" s="50"/>
      <c r="E36" s="51"/>
      <c r="F36" s="52"/>
      <c r="G36" s="53"/>
      <c r="H36" s="53"/>
      <c r="I36" s="48"/>
      <c r="J36" s="29">
        <f>STOCK!C36</f>
        <v>0</v>
      </c>
      <c r="K36" s="25">
        <f>SUMIFS(E10:E2510,D10:D2510,J36)</f>
        <v>0</v>
      </c>
    </row>
    <row r="37" spans="3:12" x14ac:dyDescent="0.15">
      <c r="C37" s="49"/>
      <c r="D37" s="50"/>
      <c r="E37" s="51"/>
      <c r="F37" s="52"/>
      <c r="G37" s="53"/>
      <c r="H37" s="53"/>
      <c r="I37" s="48"/>
      <c r="J37" s="29" t="e">
        <f>STOCK!#REF!</f>
        <v>#REF!</v>
      </c>
      <c r="K37" s="25">
        <f>SUMIFS(E10:E2510,D10:D2510,J37)</f>
        <v>0</v>
      </c>
    </row>
    <row r="38" spans="3:12" x14ac:dyDescent="0.15">
      <c r="C38" s="49"/>
      <c r="D38" s="50"/>
      <c r="E38" s="51"/>
      <c r="F38" s="52"/>
      <c r="G38" s="53"/>
      <c r="H38" s="53"/>
      <c r="J38" s="29" t="e">
        <f>STOCK!#REF!</f>
        <v>#REF!</v>
      </c>
      <c r="K38" s="25">
        <f>SUMIFS(E10:E2510,D10:D2510,J38)</f>
        <v>0</v>
      </c>
    </row>
    <row r="39" spans="3:12" x14ac:dyDescent="0.15">
      <c r="C39" s="49"/>
      <c r="D39" s="50"/>
      <c r="E39" s="51"/>
      <c r="F39" s="52"/>
      <c r="G39" s="53"/>
      <c r="H39" s="53"/>
      <c r="J39" s="29" t="e">
        <f>STOCK!#REF!</f>
        <v>#REF!</v>
      </c>
      <c r="K39" s="25">
        <f>SUMIFS(E10:E2510,D10:D2510,J39)</f>
        <v>0</v>
      </c>
    </row>
    <row r="40" spans="3:12" x14ac:dyDescent="0.15">
      <c r="C40" s="49"/>
      <c r="D40" s="50"/>
      <c r="E40" s="51"/>
      <c r="F40" s="52"/>
      <c r="G40" s="53"/>
      <c r="H40" s="53"/>
      <c r="J40" s="29" t="e">
        <f>STOCK!#REF!</f>
        <v>#REF!</v>
      </c>
      <c r="K40" s="25">
        <f>SUMIFS(E10:E2510,D10:D2510,J40)</f>
        <v>0</v>
      </c>
    </row>
    <row r="41" spans="3:12" x14ac:dyDescent="0.15">
      <c r="C41" s="49"/>
      <c r="D41" s="50"/>
      <c r="E41" s="51"/>
      <c r="F41" s="52"/>
      <c r="G41" s="53"/>
      <c r="H41" s="53"/>
      <c r="J41" s="29" t="e">
        <f>STOCK!#REF!</f>
        <v>#REF!</v>
      </c>
      <c r="K41" s="25">
        <f>SUMIFS(E10:E2510,D10:D2510,J41)</f>
        <v>0</v>
      </c>
    </row>
    <row r="42" spans="3:12" x14ac:dyDescent="0.15">
      <c r="C42" s="49"/>
      <c r="D42" s="50"/>
      <c r="E42" s="51"/>
      <c r="F42" s="52"/>
      <c r="G42" s="53"/>
      <c r="H42" s="53"/>
      <c r="J42" s="29" t="e">
        <f>STOCK!#REF!</f>
        <v>#REF!</v>
      </c>
      <c r="K42" s="25">
        <f>SUMIFS(E10:E2510,D10:D2510,J42)</f>
        <v>0</v>
      </c>
    </row>
    <row r="43" spans="3:12" x14ac:dyDescent="0.15">
      <c r="C43" s="49"/>
      <c r="D43" s="50"/>
      <c r="E43" s="51"/>
      <c r="F43" s="52"/>
      <c r="G43" s="53"/>
      <c r="H43" s="53"/>
      <c r="J43" s="29" t="e">
        <f>STOCK!#REF!</f>
        <v>#REF!</v>
      </c>
      <c r="K43" s="25">
        <f>SUMIFS(E10:E2510,D10:D2510,J43)</f>
        <v>0</v>
      </c>
    </row>
    <row r="44" spans="3:12" x14ac:dyDescent="0.15">
      <c r="C44" s="49"/>
      <c r="D44" s="50"/>
      <c r="E44" s="56"/>
      <c r="F44" s="52"/>
      <c r="G44" s="53"/>
      <c r="H44" s="53"/>
      <c r="J44" s="29" t="e">
        <f>STOCK!#REF!</f>
        <v>#REF!</v>
      </c>
      <c r="K44" s="25">
        <f>SUMIFS(E10:E2510,D10:D2510,J44)</f>
        <v>0</v>
      </c>
    </row>
    <row r="45" spans="3:12" x14ac:dyDescent="0.15">
      <c r="C45" s="49"/>
      <c r="D45" s="50"/>
      <c r="E45" s="51"/>
      <c r="F45" s="52"/>
      <c r="G45" s="53"/>
      <c r="H45" s="53"/>
      <c r="J45" s="29" t="e">
        <f>STOCK!#REF!</f>
        <v>#REF!</v>
      </c>
      <c r="K45" s="25">
        <f>SUMIFS(E10:E2510,D10:D2510,J45)</f>
        <v>0</v>
      </c>
    </row>
    <row r="46" spans="3:12" x14ac:dyDescent="0.15">
      <c r="C46" s="49"/>
      <c r="D46" s="50"/>
      <c r="E46" s="51"/>
      <c r="F46" s="52"/>
      <c r="G46" s="53"/>
      <c r="H46" s="53"/>
      <c r="J46" s="29" t="e">
        <f>STOCK!#REF!</f>
        <v>#REF!</v>
      </c>
      <c r="K46" s="25">
        <f>SUMIFS(E10:E2510,D10:D2510,J46)</f>
        <v>0</v>
      </c>
    </row>
    <row r="47" spans="3:12" x14ac:dyDescent="0.15">
      <c r="C47" s="49"/>
      <c r="D47" s="50"/>
      <c r="E47" s="51"/>
      <c r="F47" s="52"/>
      <c r="G47" s="53"/>
      <c r="H47" s="53"/>
      <c r="J47" s="29" t="e">
        <f>STOCK!#REF!</f>
        <v>#REF!</v>
      </c>
      <c r="K47" s="25">
        <f>SUMIFS(E10:E2510,D10:D2510,J47)</f>
        <v>0</v>
      </c>
    </row>
    <row r="48" spans="3:12" x14ac:dyDescent="0.15">
      <c r="C48" s="49"/>
      <c r="D48" s="50"/>
      <c r="E48" s="51"/>
      <c r="F48" s="52"/>
      <c r="G48" s="53"/>
      <c r="H48" s="53"/>
      <c r="J48" s="29" t="e">
        <f>STOCK!#REF!</f>
        <v>#REF!</v>
      </c>
      <c r="K48" s="25">
        <f>SUMIFS(E10:E2510,D10:D2510,J48)</f>
        <v>0</v>
      </c>
    </row>
    <row r="49" spans="3:11" x14ac:dyDescent="0.15">
      <c r="C49" s="49"/>
      <c r="D49" s="50"/>
      <c r="E49" s="56"/>
      <c r="F49" s="52"/>
      <c r="G49" s="53"/>
      <c r="H49" s="53"/>
      <c r="J49" s="29" t="e">
        <f>STOCK!#REF!</f>
        <v>#REF!</v>
      </c>
      <c r="K49" s="25">
        <f>SUMIFS(E10:E2510,D10:D2510,J49)</f>
        <v>0</v>
      </c>
    </row>
    <row r="50" spans="3:11" x14ac:dyDescent="0.15">
      <c r="C50" s="49"/>
      <c r="D50" s="50"/>
      <c r="E50" s="51"/>
      <c r="F50" s="52"/>
      <c r="G50" s="53"/>
      <c r="H50" s="53"/>
      <c r="J50" s="29" t="e">
        <f>STOCK!#REF!</f>
        <v>#REF!</v>
      </c>
      <c r="K50" s="25">
        <f>SUMIFS(E10:E2510,D10:D2510,J50)</f>
        <v>0</v>
      </c>
    </row>
    <row r="51" spans="3:11" x14ac:dyDescent="0.15">
      <c r="C51" s="49"/>
      <c r="D51" s="50"/>
      <c r="E51" s="51"/>
      <c r="F51" s="52"/>
      <c r="G51" s="53"/>
      <c r="H51" s="53"/>
      <c r="J51" s="29" t="e">
        <f>STOCK!#REF!</f>
        <v>#REF!</v>
      </c>
      <c r="K51" s="25">
        <f>SUMIFS(E10:E2510,D10:D2510,J51)</f>
        <v>0</v>
      </c>
    </row>
    <row r="52" spans="3:11" x14ac:dyDescent="0.15">
      <c r="C52" s="49"/>
      <c r="D52" s="50"/>
      <c r="E52" s="51"/>
      <c r="F52" s="52"/>
      <c r="G52" s="53"/>
      <c r="H52" s="53"/>
      <c r="J52" s="29" t="e">
        <f>STOCK!#REF!</f>
        <v>#REF!</v>
      </c>
      <c r="K52" s="25">
        <f>SUMIFS(E10:E2510,D10:D2510,J52)</f>
        <v>0</v>
      </c>
    </row>
    <row r="53" spans="3:11" x14ac:dyDescent="0.15">
      <c r="C53" s="49"/>
      <c r="D53" s="50"/>
      <c r="E53" s="51"/>
      <c r="F53" s="52"/>
      <c r="G53" s="53"/>
      <c r="H53" s="53"/>
      <c r="J53" s="29" t="e">
        <f>STOCK!#REF!</f>
        <v>#REF!</v>
      </c>
      <c r="K53" s="25">
        <f>SUMIFS(E10:E2510,D10:D2510,J53)</f>
        <v>0</v>
      </c>
    </row>
    <row r="54" spans="3:11" x14ac:dyDescent="0.15">
      <c r="C54" s="49"/>
      <c r="D54" s="50"/>
      <c r="E54" s="51"/>
      <c r="F54" s="52"/>
      <c r="G54" s="53"/>
      <c r="H54" s="53"/>
      <c r="J54" s="29" t="e">
        <f>STOCK!#REF!</f>
        <v>#REF!</v>
      </c>
      <c r="K54" s="25">
        <f>SUMIFS(E10:E2510,D10:D2510,J54)</f>
        <v>0</v>
      </c>
    </row>
    <row r="55" spans="3:11" x14ac:dyDescent="0.15">
      <c r="C55" s="49"/>
      <c r="D55" s="50"/>
      <c r="E55" s="51"/>
      <c r="F55" s="52"/>
      <c r="G55" s="53"/>
      <c r="H55" s="53"/>
    </row>
    <row r="56" spans="3:11" x14ac:dyDescent="0.15">
      <c r="C56" s="49"/>
      <c r="D56" s="50"/>
      <c r="E56" s="51"/>
      <c r="F56" s="52"/>
      <c r="G56" s="53"/>
      <c r="H56" s="53"/>
    </row>
    <row r="57" spans="3:11" x14ac:dyDescent="0.15">
      <c r="C57" s="49"/>
      <c r="D57" s="50"/>
      <c r="E57" s="51"/>
      <c r="F57" s="52"/>
      <c r="G57" s="53"/>
      <c r="H57" s="53"/>
    </row>
    <row r="58" spans="3:11" x14ac:dyDescent="0.15">
      <c r="C58" s="49"/>
      <c r="D58" s="50"/>
      <c r="E58" s="51"/>
      <c r="F58" s="52"/>
      <c r="G58" s="53"/>
      <c r="H58" s="53"/>
    </row>
    <row r="59" spans="3:11" x14ac:dyDescent="0.15">
      <c r="C59" s="49"/>
      <c r="D59" s="50"/>
      <c r="E59" s="51"/>
      <c r="F59" s="52"/>
      <c r="G59" s="53"/>
      <c r="H59" s="53"/>
    </row>
    <row r="60" spans="3:11" x14ac:dyDescent="0.15">
      <c r="C60" s="49"/>
      <c r="D60" s="50"/>
      <c r="E60" s="51"/>
      <c r="F60" s="52"/>
      <c r="G60" s="53"/>
      <c r="H60" s="53"/>
    </row>
    <row r="61" spans="3:11" x14ac:dyDescent="0.15">
      <c r="C61" s="49"/>
      <c r="D61" s="50"/>
      <c r="E61" s="51"/>
      <c r="F61" s="52"/>
      <c r="G61" s="53"/>
      <c r="H61" s="53"/>
    </row>
    <row r="62" spans="3:11" x14ac:dyDescent="0.15">
      <c r="C62" s="49"/>
      <c r="D62" s="50"/>
      <c r="E62" s="51"/>
      <c r="F62" s="52"/>
      <c r="G62" s="53"/>
      <c r="H62" s="53"/>
    </row>
    <row r="63" spans="3:11" x14ac:dyDescent="0.15">
      <c r="C63" s="49"/>
      <c r="D63" s="50"/>
      <c r="E63" s="51"/>
      <c r="F63" s="52"/>
      <c r="G63" s="53"/>
      <c r="H63" s="53"/>
    </row>
    <row r="64" spans="3:11" x14ac:dyDescent="0.15">
      <c r="C64" s="49"/>
      <c r="D64" s="50"/>
      <c r="E64" s="51"/>
      <c r="F64" s="52"/>
      <c r="G64" s="53"/>
      <c r="H64" s="53"/>
    </row>
    <row r="65" spans="3:8" x14ac:dyDescent="0.15">
      <c r="C65" s="49"/>
      <c r="D65" s="50"/>
      <c r="E65" s="51"/>
      <c r="F65" s="52"/>
      <c r="G65" s="53"/>
      <c r="H65" s="53"/>
    </row>
    <row r="66" spans="3:8" x14ac:dyDescent="0.15">
      <c r="C66" s="49"/>
      <c r="D66" s="50"/>
      <c r="E66" s="51"/>
      <c r="F66" s="52"/>
      <c r="G66" s="53"/>
      <c r="H66" s="53"/>
    </row>
    <row r="67" spans="3:8" x14ac:dyDescent="0.15">
      <c r="C67" s="49"/>
      <c r="D67" s="50"/>
      <c r="E67" s="51"/>
      <c r="F67" s="52"/>
      <c r="G67" s="53"/>
      <c r="H67" s="53"/>
    </row>
    <row r="68" spans="3:8" x14ac:dyDescent="0.15">
      <c r="C68" s="49"/>
      <c r="D68" s="50"/>
      <c r="E68" s="51"/>
      <c r="F68" s="52"/>
      <c r="G68" s="53"/>
      <c r="H68" s="53"/>
    </row>
    <row r="69" spans="3:8" x14ac:dyDescent="0.15">
      <c r="C69" s="49"/>
      <c r="D69" s="50"/>
      <c r="E69" s="51"/>
      <c r="F69" s="52"/>
      <c r="G69" s="53"/>
      <c r="H69" s="53"/>
    </row>
    <row r="70" spans="3:8" x14ac:dyDescent="0.15">
      <c r="C70" s="49"/>
      <c r="D70" s="50"/>
      <c r="E70" s="51"/>
      <c r="F70" s="52"/>
      <c r="G70" s="53"/>
      <c r="H70" s="53"/>
    </row>
    <row r="71" spans="3:8" x14ac:dyDescent="0.15">
      <c r="C71" s="49"/>
      <c r="D71" s="50"/>
      <c r="E71" s="51"/>
      <c r="F71" s="52"/>
      <c r="G71" s="53"/>
      <c r="H71" s="53"/>
    </row>
    <row r="72" spans="3:8" x14ac:dyDescent="0.15">
      <c r="C72" s="49"/>
      <c r="D72" s="50"/>
      <c r="E72" s="51"/>
      <c r="F72" s="52"/>
      <c r="G72" s="53"/>
      <c r="H72" s="53"/>
    </row>
    <row r="73" spans="3:8" x14ac:dyDescent="0.15">
      <c r="C73" s="49"/>
      <c r="D73" s="50"/>
      <c r="E73" s="51"/>
      <c r="F73" s="52"/>
      <c r="G73" s="53"/>
      <c r="H73" s="53"/>
    </row>
    <row r="74" spans="3:8" x14ac:dyDescent="0.15">
      <c r="C74" s="49"/>
      <c r="D74" s="50"/>
      <c r="E74" s="51"/>
      <c r="F74" s="52"/>
      <c r="G74" s="53"/>
      <c r="H74" s="53"/>
    </row>
    <row r="75" spans="3:8" x14ac:dyDescent="0.15">
      <c r="C75" s="49"/>
      <c r="D75" s="50"/>
      <c r="E75" s="51"/>
      <c r="F75" s="52"/>
      <c r="G75" s="53"/>
      <c r="H75" s="53"/>
    </row>
    <row r="76" spans="3:8" x14ac:dyDescent="0.15">
      <c r="C76" s="49"/>
      <c r="D76" s="50"/>
      <c r="E76" s="51"/>
      <c r="F76" s="52"/>
      <c r="G76" s="53"/>
      <c r="H76" s="53"/>
    </row>
    <row r="77" spans="3:8" x14ac:dyDescent="0.15">
      <c r="C77" s="49"/>
      <c r="D77" s="50"/>
      <c r="E77" s="51"/>
      <c r="F77" s="52"/>
      <c r="G77" s="53"/>
      <c r="H77" s="53"/>
    </row>
    <row r="78" spans="3:8" x14ac:dyDescent="0.15">
      <c r="C78" s="49"/>
      <c r="D78" s="50"/>
      <c r="E78" s="51"/>
      <c r="F78" s="52"/>
      <c r="G78" s="53"/>
      <c r="H78" s="53"/>
    </row>
    <row r="79" spans="3:8" x14ac:dyDescent="0.15">
      <c r="C79" s="49"/>
      <c r="D79" s="50"/>
      <c r="E79" s="51"/>
      <c r="F79" s="52"/>
      <c r="G79" s="53"/>
      <c r="H79" s="53"/>
    </row>
    <row r="80" spans="3:8" x14ac:dyDescent="0.15">
      <c r="C80" s="49"/>
      <c r="D80" s="50"/>
      <c r="E80" s="51"/>
      <c r="F80" s="52"/>
      <c r="G80" s="53"/>
      <c r="H80" s="53"/>
    </row>
    <row r="81" spans="3:8" x14ac:dyDescent="0.15">
      <c r="C81" s="49"/>
      <c r="D81" s="50"/>
      <c r="E81" s="51"/>
      <c r="F81" s="52"/>
      <c r="G81" s="53"/>
      <c r="H81" s="53"/>
    </row>
    <row r="82" spans="3:8" x14ac:dyDescent="0.15">
      <c r="C82" s="49"/>
      <c r="D82" s="50"/>
      <c r="E82" s="51"/>
      <c r="F82" s="52"/>
      <c r="G82" s="53"/>
      <c r="H82" s="53"/>
    </row>
    <row r="83" spans="3:8" x14ac:dyDescent="0.15">
      <c r="C83" s="49"/>
      <c r="D83" s="50"/>
      <c r="E83" s="51"/>
      <c r="F83" s="52"/>
      <c r="G83" s="53"/>
      <c r="H83" s="53"/>
    </row>
    <row r="84" spans="3:8" x14ac:dyDescent="0.15">
      <c r="C84" s="49"/>
      <c r="D84" s="50"/>
      <c r="E84" s="51"/>
      <c r="F84" s="52"/>
      <c r="G84" s="53"/>
      <c r="H84" s="53"/>
    </row>
    <row r="85" spans="3:8" x14ac:dyDescent="0.15">
      <c r="C85" s="49"/>
      <c r="D85" s="50"/>
      <c r="E85" s="51"/>
      <c r="F85" s="52"/>
      <c r="G85" s="53"/>
      <c r="H85" s="53"/>
    </row>
    <row r="86" spans="3:8" x14ac:dyDescent="0.15">
      <c r="C86" s="49"/>
      <c r="D86" s="50"/>
      <c r="E86" s="51"/>
      <c r="F86" s="52"/>
      <c r="G86" s="53"/>
      <c r="H86" s="53"/>
    </row>
    <row r="87" spans="3:8" x14ac:dyDescent="0.15">
      <c r="C87" s="49"/>
      <c r="D87" s="50"/>
      <c r="E87" s="51"/>
      <c r="F87" s="52"/>
      <c r="G87" s="53"/>
      <c r="H87" s="53"/>
    </row>
    <row r="88" spans="3:8" x14ac:dyDescent="0.15">
      <c r="C88" s="49"/>
      <c r="D88" s="50"/>
      <c r="E88" s="51"/>
      <c r="F88" s="52"/>
      <c r="G88" s="53"/>
      <c r="H88" s="53"/>
    </row>
    <row r="89" spans="3:8" x14ac:dyDescent="0.15">
      <c r="C89" s="49"/>
      <c r="D89" s="50"/>
      <c r="E89" s="51"/>
      <c r="F89" s="52"/>
      <c r="G89" s="53"/>
      <c r="H89" s="53"/>
    </row>
    <row r="90" spans="3:8" x14ac:dyDescent="0.15">
      <c r="C90" s="49"/>
      <c r="D90" s="50"/>
      <c r="E90" s="51"/>
      <c r="F90" s="52"/>
      <c r="G90" s="53"/>
      <c r="H90" s="53"/>
    </row>
    <row r="91" spans="3:8" x14ac:dyDescent="0.15">
      <c r="C91" s="49"/>
      <c r="D91" s="50"/>
      <c r="E91" s="51"/>
      <c r="F91" s="52"/>
      <c r="G91" s="53"/>
      <c r="H91" s="53"/>
    </row>
    <row r="92" spans="3:8" x14ac:dyDescent="0.15">
      <c r="C92" s="49"/>
      <c r="D92" s="50"/>
      <c r="E92" s="51"/>
      <c r="F92" s="52"/>
      <c r="G92" s="53"/>
      <c r="H92" s="53"/>
    </row>
    <row r="93" spans="3:8" x14ac:dyDescent="0.15">
      <c r="C93" s="49"/>
      <c r="D93" s="50"/>
      <c r="E93" s="51"/>
      <c r="F93" s="52"/>
      <c r="G93" s="53"/>
      <c r="H93" s="53"/>
    </row>
    <row r="94" spans="3:8" x14ac:dyDescent="0.15">
      <c r="C94" s="49"/>
      <c r="D94" s="50"/>
      <c r="E94" s="51"/>
      <c r="F94" s="52"/>
      <c r="G94" s="53"/>
      <c r="H94" s="53"/>
    </row>
    <row r="95" spans="3:8" x14ac:dyDescent="0.15">
      <c r="C95" s="49"/>
      <c r="D95" s="50"/>
      <c r="E95" s="51"/>
      <c r="F95" s="52"/>
      <c r="G95" s="53"/>
      <c r="H95" s="53"/>
    </row>
    <row r="96" spans="3:8" x14ac:dyDescent="0.15">
      <c r="C96" s="49"/>
      <c r="D96" s="50"/>
      <c r="E96" s="51"/>
      <c r="F96" s="52"/>
      <c r="G96" s="53"/>
      <c r="H96" s="53"/>
    </row>
    <row r="97" spans="3:8" x14ac:dyDescent="0.15">
      <c r="C97" s="49"/>
      <c r="D97" s="50"/>
      <c r="E97" s="51"/>
      <c r="F97" s="52"/>
      <c r="G97" s="53"/>
      <c r="H97" s="53"/>
    </row>
    <row r="98" spans="3:8" x14ac:dyDescent="0.15">
      <c r="C98" s="49"/>
      <c r="D98" s="50"/>
      <c r="E98" s="51"/>
      <c r="F98" s="52"/>
      <c r="G98" s="53"/>
      <c r="H98" s="53"/>
    </row>
    <row r="99" spans="3:8" x14ac:dyDescent="0.15">
      <c r="C99" s="49"/>
      <c r="D99" s="50"/>
      <c r="E99" s="51"/>
      <c r="F99" s="52"/>
      <c r="G99" s="53"/>
      <c r="H99" s="53"/>
    </row>
    <row r="100" spans="3:8" x14ac:dyDescent="0.15">
      <c r="C100" s="49"/>
      <c r="D100" s="50"/>
      <c r="E100" s="51"/>
      <c r="F100" s="52"/>
      <c r="G100" s="53"/>
      <c r="H100" s="53"/>
    </row>
    <row r="101" spans="3:8" x14ac:dyDescent="0.15">
      <c r="C101" s="49"/>
      <c r="D101" s="50"/>
      <c r="E101" s="51"/>
      <c r="F101" s="52"/>
      <c r="G101" s="53"/>
      <c r="H101" s="53"/>
    </row>
    <row r="102" spans="3:8" x14ac:dyDescent="0.15">
      <c r="C102" s="49"/>
      <c r="D102" s="50"/>
      <c r="E102" s="51"/>
      <c r="F102" s="52"/>
      <c r="G102" s="53"/>
      <c r="H102" s="53"/>
    </row>
    <row r="103" spans="3:8" x14ac:dyDescent="0.15">
      <c r="C103" s="49"/>
      <c r="D103" s="50"/>
      <c r="E103" s="51"/>
      <c r="F103" s="52"/>
      <c r="G103" s="53"/>
      <c r="H103" s="53"/>
    </row>
    <row r="104" spans="3:8" x14ac:dyDescent="0.15">
      <c r="C104" s="49"/>
      <c r="D104" s="50"/>
      <c r="E104" s="51"/>
      <c r="F104" s="52"/>
      <c r="G104" s="53"/>
      <c r="H104" s="53"/>
    </row>
    <row r="105" spans="3:8" x14ac:dyDescent="0.15">
      <c r="C105" s="49"/>
      <c r="D105" s="50"/>
      <c r="E105" s="51"/>
      <c r="F105" s="52"/>
      <c r="G105" s="53"/>
      <c r="H105" s="53"/>
    </row>
    <row r="106" spans="3:8" x14ac:dyDescent="0.15">
      <c r="C106" s="49"/>
      <c r="D106" s="50"/>
      <c r="E106" s="51"/>
      <c r="F106" s="52"/>
      <c r="G106" s="53"/>
      <c r="H106" s="53"/>
    </row>
    <row r="107" spans="3:8" x14ac:dyDescent="0.15">
      <c r="C107" s="49"/>
      <c r="D107" s="50"/>
      <c r="E107" s="51"/>
      <c r="F107" s="52"/>
      <c r="G107" s="53"/>
      <c r="H107" s="53"/>
    </row>
    <row r="108" spans="3:8" x14ac:dyDescent="0.15">
      <c r="C108" s="49"/>
      <c r="D108" s="50"/>
      <c r="E108" s="51"/>
      <c r="F108" s="52"/>
      <c r="G108" s="53"/>
      <c r="H108" s="53"/>
    </row>
    <row r="109" spans="3:8" x14ac:dyDescent="0.15">
      <c r="C109" s="49"/>
      <c r="D109" s="50"/>
      <c r="E109" s="51"/>
      <c r="F109" s="52"/>
      <c r="G109" s="53"/>
      <c r="H109" s="53"/>
    </row>
    <row r="110" spans="3:8" x14ac:dyDescent="0.15">
      <c r="C110" s="49"/>
      <c r="D110" s="50"/>
      <c r="E110" s="51"/>
      <c r="F110" s="52"/>
      <c r="G110" s="53"/>
      <c r="H110" s="53"/>
    </row>
    <row r="111" spans="3:8" x14ac:dyDescent="0.15">
      <c r="C111" s="49"/>
      <c r="D111" s="50"/>
      <c r="E111" s="51"/>
      <c r="F111" s="52"/>
      <c r="G111" s="53"/>
      <c r="H111" s="53"/>
    </row>
    <row r="112" spans="3:8" x14ac:dyDescent="0.15">
      <c r="C112" s="49"/>
      <c r="D112" s="50"/>
      <c r="E112" s="51"/>
      <c r="F112" s="52"/>
      <c r="G112" s="53"/>
      <c r="H112" s="53"/>
    </row>
    <row r="113" spans="3:8" x14ac:dyDescent="0.15">
      <c r="C113" s="49"/>
      <c r="D113" s="50"/>
      <c r="E113" s="51"/>
      <c r="F113" s="52"/>
      <c r="G113" s="53"/>
      <c r="H113" s="53"/>
    </row>
    <row r="114" spans="3:8" x14ac:dyDescent="0.15">
      <c r="C114" s="49"/>
      <c r="D114" s="50"/>
      <c r="E114" s="51"/>
      <c r="F114" s="52"/>
      <c r="G114" s="53"/>
      <c r="H114" s="53"/>
    </row>
    <row r="115" spans="3:8" x14ac:dyDescent="0.15">
      <c r="C115" s="49"/>
      <c r="D115" s="50"/>
      <c r="E115" s="51"/>
      <c r="F115" s="52"/>
      <c r="G115" s="53"/>
      <c r="H115" s="53"/>
    </row>
    <row r="116" spans="3:8" x14ac:dyDescent="0.15">
      <c r="C116" s="49"/>
      <c r="D116" s="50"/>
      <c r="E116" s="51"/>
      <c r="F116" s="52"/>
      <c r="G116" s="53"/>
      <c r="H116" s="53"/>
    </row>
    <row r="117" spans="3:8" x14ac:dyDescent="0.15">
      <c r="C117" s="49"/>
      <c r="D117" s="50"/>
      <c r="E117" s="51"/>
      <c r="F117" s="52"/>
      <c r="G117" s="53"/>
      <c r="H117" s="53"/>
    </row>
    <row r="118" spans="3:8" x14ac:dyDescent="0.15">
      <c r="C118" s="49"/>
      <c r="D118" s="50"/>
      <c r="E118" s="51"/>
      <c r="F118" s="52"/>
      <c r="G118" s="53"/>
      <c r="H118" s="53"/>
    </row>
    <row r="119" spans="3:8" x14ac:dyDescent="0.15">
      <c r="C119" s="49"/>
      <c r="D119" s="50"/>
      <c r="E119" s="51"/>
      <c r="F119" s="52"/>
      <c r="G119" s="53"/>
      <c r="H119" s="53"/>
    </row>
    <row r="120" spans="3:8" x14ac:dyDescent="0.15">
      <c r="C120" s="49"/>
      <c r="D120" s="50"/>
      <c r="E120" s="51"/>
      <c r="F120" s="52"/>
      <c r="G120" s="53"/>
      <c r="H120" s="53"/>
    </row>
    <row r="121" spans="3:8" x14ac:dyDescent="0.15">
      <c r="C121" s="49"/>
      <c r="D121" s="50"/>
      <c r="E121" s="51"/>
      <c r="F121" s="52"/>
      <c r="G121" s="53"/>
      <c r="H121" s="53"/>
    </row>
    <row r="122" spans="3:8" x14ac:dyDescent="0.15">
      <c r="C122" s="49"/>
      <c r="D122" s="50"/>
      <c r="E122" s="51"/>
      <c r="F122" s="52"/>
      <c r="G122" s="53"/>
      <c r="H122" s="53"/>
    </row>
    <row r="123" spans="3:8" x14ac:dyDescent="0.15">
      <c r="C123" s="49"/>
      <c r="D123" s="50"/>
      <c r="E123" s="51"/>
      <c r="F123" s="52"/>
      <c r="G123" s="53"/>
      <c r="H123" s="53"/>
    </row>
    <row r="124" spans="3:8" x14ac:dyDescent="0.15">
      <c r="C124" s="49"/>
      <c r="D124" s="50"/>
      <c r="E124" s="51"/>
      <c r="F124" s="52"/>
      <c r="G124" s="53"/>
      <c r="H124" s="53"/>
    </row>
    <row r="125" spans="3:8" x14ac:dyDescent="0.15">
      <c r="C125" s="49"/>
      <c r="D125" s="50"/>
      <c r="E125" s="51"/>
      <c r="F125" s="52"/>
      <c r="G125" s="53"/>
      <c r="H125" s="53"/>
    </row>
    <row r="126" spans="3:8" x14ac:dyDescent="0.15">
      <c r="C126" s="49"/>
      <c r="D126" s="50"/>
      <c r="E126" s="51"/>
      <c r="F126" s="52"/>
      <c r="G126" s="53"/>
      <c r="H126" s="53"/>
    </row>
    <row r="127" spans="3:8" x14ac:dyDescent="0.15">
      <c r="C127" s="49"/>
      <c r="D127" s="50"/>
      <c r="E127" s="51"/>
      <c r="F127" s="52"/>
      <c r="G127" s="53"/>
      <c r="H127" s="53"/>
    </row>
    <row r="128" spans="3:8" x14ac:dyDescent="0.15">
      <c r="C128" s="49"/>
      <c r="D128" s="50"/>
      <c r="E128" s="51"/>
      <c r="F128" s="52"/>
      <c r="G128" s="53"/>
      <c r="H128" s="53"/>
    </row>
    <row r="129" spans="3:8" x14ac:dyDescent="0.15">
      <c r="C129" s="49"/>
      <c r="D129" s="50"/>
      <c r="E129" s="51"/>
      <c r="F129" s="52"/>
      <c r="G129" s="53"/>
      <c r="H129" s="53"/>
    </row>
    <row r="130" spans="3:8" x14ac:dyDescent="0.15">
      <c r="C130" s="49"/>
      <c r="D130" s="50"/>
      <c r="E130" s="51"/>
      <c r="F130" s="52"/>
      <c r="G130" s="53"/>
      <c r="H130" s="53"/>
    </row>
    <row r="131" spans="3:8" x14ac:dyDescent="0.15">
      <c r="C131" s="49"/>
      <c r="D131" s="50"/>
      <c r="E131" s="51"/>
      <c r="F131" s="52"/>
      <c r="G131" s="53"/>
      <c r="H131" s="53"/>
    </row>
    <row r="132" spans="3:8" x14ac:dyDescent="0.15">
      <c r="C132" s="49"/>
      <c r="D132" s="50"/>
      <c r="E132" s="51"/>
      <c r="F132" s="52"/>
      <c r="G132" s="53"/>
      <c r="H132" s="53"/>
    </row>
    <row r="133" spans="3:8" x14ac:dyDescent="0.15">
      <c r="C133" s="49"/>
      <c r="D133" s="50"/>
      <c r="E133" s="51"/>
      <c r="F133" s="52"/>
      <c r="G133" s="53"/>
      <c r="H133" s="53"/>
    </row>
    <row r="134" spans="3:8" x14ac:dyDescent="0.15">
      <c r="C134" s="49"/>
      <c r="D134" s="50"/>
      <c r="E134" s="51"/>
      <c r="F134" s="52"/>
      <c r="G134" s="53"/>
      <c r="H134" s="53"/>
    </row>
    <row r="135" spans="3:8" x14ac:dyDescent="0.15">
      <c r="C135" s="49"/>
      <c r="D135" s="50"/>
      <c r="E135" s="51"/>
      <c r="F135" s="52"/>
      <c r="G135" s="53"/>
      <c r="H135" s="53"/>
    </row>
    <row r="136" spans="3:8" x14ac:dyDescent="0.15">
      <c r="C136" s="49"/>
      <c r="D136" s="50"/>
      <c r="E136" s="51"/>
      <c r="F136" s="52"/>
      <c r="G136" s="53"/>
      <c r="H136" s="53"/>
    </row>
    <row r="137" spans="3:8" x14ac:dyDescent="0.15">
      <c r="C137" s="49"/>
      <c r="D137" s="50"/>
      <c r="E137" s="51"/>
      <c r="F137" s="52"/>
      <c r="G137" s="53"/>
      <c r="H137" s="53"/>
    </row>
    <row r="138" spans="3:8" x14ac:dyDescent="0.15">
      <c r="C138" s="49"/>
      <c r="D138" s="50"/>
      <c r="E138" s="51"/>
      <c r="F138" s="52"/>
      <c r="G138" s="53"/>
      <c r="H138" s="53"/>
    </row>
    <row r="139" spans="3:8" x14ac:dyDescent="0.15">
      <c r="C139" s="49"/>
      <c r="D139" s="50"/>
      <c r="E139" s="51"/>
      <c r="F139" s="52"/>
      <c r="G139" s="53"/>
      <c r="H139" s="53"/>
    </row>
    <row r="140" spans="3:8" x14ac:dyDescent="0.15">
      <c r="C140" s="49"/>
      <c r="D140" s="50"/>
      <c r="E140" s="51"/>
      <c r="F140" s="52"/>
      <c r="G140" s="53"/>
      <c r="H140" s="53"/>
    </row>
    <row r="141" spans="3:8" x14ac:dyDescent="0.15">
      <c r="C141" s="49"/>
      <c r="D141" s="50"/>
      <c r="E141" s="51"/>
      <c r="F141" s="52"/>
      <c r="G141" s="53"/>
      <c r="H141" s="53"/>
    </row>
    <row r="142" spans="3:8" x14ac:dyDescent="0.15">
      <c r="C142" s="49"/>
      <c r="D142" s="50"/>
      <c r="E142" s="51"/>
      <c r="F142" s="52"/>
      <c r="G142" s="53"/>
      <c r="H142" s="53"/>
    </row>
    <row r="143" spans="3:8" x14ac:dyDescent="0.15">
      <c r="C143" s="49"/>
      <c r="D143" s="50"/>
      <c r="E143" s="51"/>
      <c r="F143" s="52"/>
      <c r="G143" s="53"/>
      <c r="H143" s="53"/>
    </row>
    <row r="144" spans="3:8" x14ac:dyDescent="0.15">
      <c r="C144" s="49"/>
      <c r="D144" s="50"/>
      <c r="E144" s="51"/>
      <c r="F144" s="52"/>
      <c r="G144" s="53"/>
      <c r="H144" s="53"/>
    </row>
    <row r="145" spans="3:9" x14ac:dyDescent="0.15">
      <c r="C145" s="49"/>
      <c r="D145" s="50"/>
      <c r="E145" s="51"/>
      <c r="F145" s="52"/>
      <c r="G145" s="53"/>
      <c r="H145" s="53"/>
    </row>
    <row r="146" spans="3:9" x14ac:dyDescent="0.15">
      <c r="C146" s="49"/>
      <c r="D146" s="50"/>
      <c r="E146" s="51"/>
      <c r="F146" s="52"/>
      <c r="G146" s="53"/>
      <c r="H146" s="53"/>
    </row>
    <row r="147" spans="3:9" x14ac:dyDescent="0.15">
      <c r="C147" s="49"/>
      <c r="D147" s="50"/>
      <c r="E147" s="51"/>
      <c r="F147" s="52"/>
      <c r="G147" s="53"/>
      <c r="H147" s="53"/>
    </row>
    <row r="148" spans="3:9" x14ac:dyDescent="0.15">
      <c r="C148" s="49"/>
      <c r="D148" s="50"/>
      <c r="E148" s="51"/>
      <c r="F148" s="52"/>
      <c r="G148" s="53"/>
      <c r="H148" s="53"/>
    </row>
    <row r="149" spans="3:9" x14ac:dyDescent="0.15">
      <c r="C149" s="49"/>
      <c r="D149" s="50"/>
      <c r="E149" s="51"/>
      <c r="F149" s="52"/>
      <c r="G149" s="53"/>
      <c r="H149" s="53"/>
    </row>
    <row r="150" spans="3:9" x14ac:dyDescent="0.15">
      <c r="C150" s="49"/>
      <c r="D150" s="50"/>
      <c r="E150" s="51"/>
      <c r="F150" s="52"/>
      <c r="G150" s="53"/>
      <c r="H150" s="53"/>
    </row>
    <row r="151" spans="3:9" x14ac:dyDescent="0.15">
      <c r="C151" s="49"/>
      <c r="D151" s="50"/>
      <c r="E151" s="51"/>
      <c r="F151" s="52"/>
      <c r="G151" s="53"/>
      <c r="H151" s="53"/>
    </row>
    <row r="152" spans="3:9" x14ac:dyDescent="0.15">
      <c r="C152" s="49"/>
      <c r="D152" s="50"/>
      <c r="E152" s="51"/>
      <c r="F152" s="52"/>
      <c r="G152" s="53"/>
      <c r="H152" s="53"/>
    </row>
    <row r="153" spans="3:9" x14ac:dyDescent="0.15">
      <c r="C153" s="49"/>
      <c r="D153" s="50"/>
      <c r="E153" s="51"/>
      <c r="F153" s="52"/>
      <c r="G153" s="53"/>
      <c r="H153" s="53"/>
    </row>
    <row r="154" spans="3:9" x14ac:dyDescent="0.15">
      <c r="C154" s="49"/>
      <c r="D154" s="50"/>
      <c r="E154" s="51"/>
      <c r="F154" s="52"/>
      <c r="G154" s="53"/>
      <c r="H154" s="53"/>
    </row>
    <row r="155" spans="3:9" x14ac:dyDescent="0.15">
      <c r="C155" s="49"/>
      <c r="D155" s="50"/>
      <c r="E155" s="51"/>
      <c r="F155" s="52"/>
      <c r="G155" s="53"/>
      <c r="H155" s="53"/>
    </row>
    <row r="156" spans="3:9" x14ac:dyDescent="0.15">
      <c r="C156" s="49"/>
      <c r="D156" s="50"/>
      <c r="E156" s="51"/>
      <c r="F156" s="52"/>
      <c r="G156" s="53"/>
      <c r="H156" s="53"/>
      <c r="I156" s="57"/>
    </row>
    <row r="157" spans="3:9" x14ac:dyDescent="0.15">
      <c r="C157" s="49"/>
      <c r="D157" s="50"/>
      <c r="E157" s="51"/>
      <c r="F157" s="52"/>
      <c r="G157" s="53"/>
      <c r="H157" s="53"/>
    </row>
    <row r="158" spans="3:9" x14ac:dyDescent="0.15">
      <c r="C158" s="49"/>
      <c r="D158" s="50"/>
      <c r="E158" s="51"/>
      <c r="F158" s="52"/>
      <c r="G158" s="53"/>
      <c r="H158" s="53"/>
    </row>
    <row r="159" spans="3:9" x14ac:dyDescent="0.15">
      <c r="C159" s="49"/>
      <c r="D159" s="50"/>
      <c r="E159" s="51"/>
      <c r="F159" s="52"/>
      <c r="G159" s="53"/>
      <c r="H159" s="53"/>
    </row>
    <row r="160" spans="3:9" x14ac:dyDescent="0.15">
      <c r="C160" s="49"/>
      <c r="D160" s="50"/>
      <c r="E160" s="51"/>
      <c r="F160" s="52"/>
      <c r="G160" s="53"/>
      <c r="H160" s="53"/>
    </row>
    <row r="161" spans="3:8" x14ac:dyDescent="0.15">
      <c r="C161" s="49"/>
      <c r="D161" s="50"/>
      <c r="E161" s="51"/>
      <c r="F161" s="52"/>
      <c r="G161" s="53"/>
      <c r="H161" s="53"/>
    </row>
    <row r="162" spans="3:8" x14ac:dyDescent="0.15">
      <c r="C162" s="49"/>
      <c r="D162" s="50"/>
      <c r="E162" s="51"/>
      <c r="F162" s="52"/>
      <c r="G162" s="53"/>
      <c r="H162" s="53"/>
    </row>
    <row r="163" spans="3:8" x14ac:dyDescent="0.15">
      <c r="C163" s="49"/>
      <c r="D163" s="50"/>
      <c r="E163" s="51"/>
      <c r="F163" s="52"/>
      <c r="G163" s="53"/>
      <c r="H163" s="53"/>
    </row>
    <row r="164" spans="3:8" x14ac:dyDescent="0.15">
      <c r="C164" s="49"/>
      <c r="D164" s="50"/>
      <c r="E164" s="51"/>
      <c r="F164" s="52"/>
      <c r="G164" s="53"/>
      <c r="H164" s="53"/>
    </row>
    <row r="165" spans="3:8" x14ac:dyDescent="0.15">
      <c r="C165" s="49"/>
      <c r="D165" s="50"/>
      <c r="E165" s="51"/>
      <c r="F165" s="52"/>
      <c r="G165" s="53"/>
      <c r="H165" s="53"/>
    </row>
    <row r="166" spans="3:8" x14ac:dyDescent="0.15">
      <c r="C166" s="49"/>
      <c r="D166" s="50"/>
      <c r="E166" s="51"/>
      <c r="F166" s="52"/>
      <c r="G166" s="53"/>
      <c r="H166" s="53"/>
    </row>
    <row r="167" spans="3:8" x14ac:dyDescent="0.15">
      <c r="C167" s="49"/>
      <c r="D167" s="50"/>
      <c r="E167" s="51"/>
      <c r="F167" s="52"/>
      <c r="G167" s="53"/>
      <c r="H167" s="53"/>
    </row>
    <row r="168" spans="3:8" x14ac:dyDescent="0.15">
      <c r="C168" s="49"/>
      <c r="D168" s="50"/>
      <c r="E168" s="51"/>
      <c r="F168" s="52"/>
      <c r="G168" s="53"/>
      <c r="H168" s="53"/>
    </row>
    <row r="169" spans="3:8" x14ac:dyDescent="0.15">
      <c r="C169" s="49"/>
      <c r="D169" s="50"/>
      <c r="E169" s="51"/>
      <c r="F169" s="52"/>
      <c r="G169" s="53"/>
      <c r="H169" s="53"/>
    </row>
    <row r="170" spans="3:8" x14ac:dyDescent="0.15">
      <c r="C170" s="49"/>
      <c r="D170" s="50"/>
      <c r="E170" s="51"/>
      <c r="F170" s="52"/>
      <c r="G170" s="53"/>
      <c r="H170" s="53"/>
    </row>
    <row r="171" spans="3:8" x14ac:dyDescent="0.15">
      <c r="C171" s="49"/>
      <c r="D171" s="50"/>
      <c r="E171" s="51"/>
      <c r="F171" s="52"/>
      <c r="G171" s="53"/>
      <c r="H171" s="53"/>
    </row>
    <row r="172" spans="3:8" x14ac:dyDescent="0.15">
      <c r="C172" s="49"/>
      <c r="D172" s="50"/>
      <c r="E172" s="51"/>
      <c r="F172" s="52"/>
      <c r="G172" s="53"/>
      <c r="H172" s="53"/>
    </row>
    <row r="173" spans="3:8" x14ac:dyDescent="0.15">
      <c r="C173" s="49"/>
      <c r="D173" s="50"/>
      <c r="E173" s="51"/>
      <c r="F173" s="52"/>
      <c r="G173" s="53"/>
      <c r="H173" s="53"/>
    </row>
    <row r="174" spans="3:8" x14ac:dyDescent="0.15">
      <c r="C174" s="49"/>
      <c r="D174" s="50"/>
      <c r="E174" s="51"/>
      <c r="F174" s="52"/>
      <c r="G174" s="53"/>
      <c r="H174" s="53"/>
    </row>
    <row r="175" spans="3:8" x14ac:dyDescent="0.15">
      <c r="C175" s="49"/>
      <c r="D175" s="50"/>
      <c r="E175" s="51"/>
      <c r="F175" s="52"/>
      <c r="G175" s="53"/>
      <c r="H175" s="53"/>
    </row>
    <row r="176" spans="3:8" x14ac:dyDescent="0.15">
      <c r="C176" s="49"/>
      <c r="D176" s="50"/>
      <c r="E176" s="51"/>
      <c r="F176" s="52"/>
      <c r="G176" s="53"/>
      <c r="H176" s="53"/>
    </row>
    <row r="177" spans="3:8" x14ac:dyDescent="0.15">
      <c r="C177" s="49"/>
      <c r="D177" s="50"/>
      <c r="E177" s="51"/>
      <c r="F177" s="52"/>
      <c r="G177" s="53"/>
      <c r="H177" s="53"/>
    </row>
    <row r="178" spans="3:8" x14ac:dyDescent="0.15">
      <c r="C178" s="49"/>
      <c r="D178" s="50"/>
      <c r="E178" s="51"/>
      <c r="F178" s="52"/>
      <c r="G178" s="53"/>
      <c r="H178" s="53"/>
    </row>
    <row r="179" spans="3:8" x14ac:dyDescent="0.15">
      <c r="C179" s="49"/>
      <c r="D179" s="50"/>
      <c r="E179" s="51"/>
      <c r="F179" s="52"/>
      <c r="G179" s="53"/>
      <c r="H179" s="53"/>
    </row>
    <row r="180" spans="3:8" x14ac:dyDescent="0.15">
      <c r="C180" s="49"/>
      <c r="D180" s="50"/>
      <c r="E180" s="51"/>
      <c r="F180" s="52"/>
      <c r="G180" s="53"/>
      <c r="H180" s="53"/>
    </row>
    <row r="181" spans="3:8" x14ac:dyDescent="0.15">
      <c r="C181" s="49"/>
      <c r="D181" s="50"/>
      <c r="E181" s="51"/>
      <c r="F181" s="52"/>
      <c r="G181" s="53"/>
      <c r="H181" s="53"/>
    </row>
    <row r="182" spans="3:8" x14ac:dyDescent="0.15">
      <c r="C182" s="49"/>
      <c r="D182" s="50"/>
      <c r="E182" s="51"/>
      <c r="F182" s="52"/>
      <c r="G182" s="53"/>
      <c r="H182" s="53"/>
    </row>
    <row r="183" spans="3:8" x14ac:dyDescent="0.15">
      <c r="C183" s="49"/>
      <c r="D183" s="50"/>
      <c r="E183" s="51"/>
      <c r="F183" s="52"/>
      <c r="G183" s="53"/>
      <c r="H183" s="53"/>
    </row>
    <row r="184" spans="3:8" x14ac:dyDescent="0.15">
      <c r="C184" s="49"/>
      <c r="D184" s="50"/>
      <c r="E184" s="51"/>
      <c r="F184" s="52"/>
      <c r="G184" s="53"/>
      <c r="H184" s="53"/>
    </row>
    <row r="185" spans="3:8" x14ac:dyDescent="0.15">
      <c r="C185" s="49"/>
      <c r="D185" s="50"/>
      <c r="E185" s="51"/>
      <c r="F185" s="52"/>
      <c r="G185" s="53"/>
      <c r="H185" s="53"/>
    </row>
    <row r="186" spans="3:8" x14ac:dyDescent="0.15">
      <c r="C186" s="49"/>
      <c r="D186" s="50"/>
      <c r="E186" s="51"/>
      <c r="F186" s="52"/>
      <c r="G186" s="53"/>
      <c r="H186" s="53"/>
    </row>
    <row r="187" spans="3:8" x14ac:dyDescent="0.15">
      <c r="C187" s="49"/>
      <c r="D187" s="50"/>
      <c r="E187" s="51"/>
      <c r="F187" s="52"/>
      <c r="G187" s="53"/>
      <c r="H187" s="53"/>
    </row>
    <row r="188" spans="3:8" x14ac:dyDescent="0.15">
      <c r="C188" s="49"/>
      <c r="D188" s="50"/>
      <c r="E188" s="51"/>
      <c r="F188" s="52"/>
      <c r="G188" s="53"/>
      <c r="H188" s="53"/>
    </row>
    <row r="189" spans="3:8" x14ac:dyDescent="0.15">
      <c r="C189" s="49"/>
      <c r="D189" s="50"/>
      <c r="E189" s="51"/>
      <c r="F189" s="52"/>
      <c r="G189" s="53"/>
      <c r="H189" s="53"/>
    </row>
    <row r="190" spans="3:8" x14ac:dyDescent="0.15">
      <c r="C190" s="49"/>
      <c r="D190" s="50"/>
      <c r="E190" s="51"/>
      <c r="F190" s="52"/>
      <c r="G190" s="53"/>
      <c r="H190" s="53"/>
    </row>
    <row r="191" spans="3:8" x14ac:dyDescent="0.15">
      <c r="C191" s="49"/>
      <c r="D191" s="50"/>
      <c r="E191" s="51"/>
      <c r="F191" s="52"/>
      <c r="G191" s="53"/>
      <c r="H191" s="53"/>
    </row>
    <row r="192" spans="3:8" x14ac:dyDescent="0.15">
      <c r="C192" s="49"/>
      <c r="D192" s="50"/>
      <c r="E192" s="51"/>
      <c r="F192" s="52"/>
      <c r="G192" s="53"/>
      <c r="H192" s="53"/>
    </row>
    <row r="193" spans="3:8" x14ac:dyDescent="0.15">
      <c r="C193" s="49"/>
      <c r="D193" s="50"/>
      <c r="E193" s="51"/>
      <c r="F193" s="52"/>
      <c r="G193" s="53"/>
      <c r="H193" s="53"/>
    </row>
    <row r="194" spans="3:8" x14ac:dyDescent="0.15">
      <c r="C194" s="49"/>
      <c r="D194" s="50"/>
      <c r="E194" s="51"/>
      <c r="F194" s="52"/>
      <c r="G194" s="53"/>
      <c r="H194" s="53"/>
    </row>
    <row r="195" spans="3:8" x14ac:dyDescent="0.15">
      <c r="C195" s="49"/>
      <c r="D195" s="50"/>
      <c r="E195" s="51"/>
      <c r="F195" s="52"/>
      <c r="G195" s="53"/>
      <c r="H195" s="53"/>
    </row>
    <row r="196" spans="3:8" x14ac:dyDescent="0.15">
      <c r="C196" s="49"/>
      <c r="D196" s="50"/>
      <c r="E196" s="51"/>
      <c r="F196" s="52"/>
      <c r="G196" s="53"/>
      <c r="H196" s="53"/>
    </row>
    <row r="197" spans="3:8" x14ac:dyDescent="0.15">
      <c r="C197" s="49"/>
      <c r="D197" s="50"/>
      <c r="E197" s="51"/>
      <c r="F197" s="52"/>
      <c r="G197" s="53"/>
      <c r="H197" s="53"/>
    </row>
    <row r="198" spans="3:8" x14ac:dyDescent="0.15">
      <c r="C198" s="49"/>
      <c r="D198" s="50"/>
      <c r="E198" s="51"/>
      <c r="F198" s="52"/>
      <c r="G198" s="53"/>
      <c r="H198" s="53"/>
    </row>
    <row r="199" spans="3:8" x14ac:dyDescent="0.15">
      <c r="C199" s="49"/>
      <c r="D199" s="50"/>
      <c r="E199" s="51"/>
      <c r="F199" s="52"/>
      <c r="G199" s="53"/>
      <c r="H199" s="53"/>
    </row>
    <row r="200" spans="3:8" x14ac:dyDescent="0.15">
      <c r="C200" s="49"/>
      <c r="D200" s="50"/>
      <c r="E200" s="51"/>
      <c r="F200" s="52"/>
      <c r="G200" s="53"/>
      <c r="H200" s="53"/>
    </row>
    <row r="201" spans="3:8" x14ac:dyDescent="0.15">
      <c r="C201" s="49"/>
      <c r="D201" s="50"/>
      <c r="E201" s="51"/>
      <c r="F201" s="52"/>
      <c r="G201" s="53"/>
      <c r="H201" s="53"/>
    </row>
    <row r="202" spans="3:8" x14ac:dyDescent="0.15">
      <c r="C202" s="49"/>
      <c r="D202" s="50"/>
      <c r="E202" s="51"/>
      <c r="F202" s="52"/>
      <c r="G202" s="53"/>
      <c r="H202" s="53"/>
    </row>
    <row r="203" spans="3:8" x14ac:dyDescent="0.15">
      <c r="C203" s="49"/>
      <c r="D203" s="50"/>
      <c r="E203" s="51"/>
      <c r="F203" s="52"/>
      <c r="G203" s="53"/>
      <c r="H203" s="53"/>
    </row>
    <row r="204" spans="3:8" x14ac:dyDescent="0.15">
      <c r="C204" s="49"/>
      <c r="D204" s="50"/>
      <c r="E204" s="51"/>
      <c r="F204" s="52"/>
      <c r="G204" s="53"/>
      <c r="H204" s="53"/>
    </row>
    <row r="205" spans="3:8" x14ac:dyDescent="0.15">
      <c r="C205" s="49"/>
      <c r="D205" s="50"/>
      <c r="E205" s="51"/>
      <c r="F205" s="52"/>
      <c r="G205" s="53"/>
      <c r="H205" s="53"/>
    </row>
    <row r="206" spans="3:8" x14ac:dyDescent="0.15">
      <c r="C206" s="49"/>
      <c r="D206" s="50"/>
      <c r="E206" s="51"/>
      <c r="F206" s="52"/>
      <c r="G206" s="53"/>
      <c r="H206" s="53"/>
    </row>
    <row r="207" spans="3:8" x14ac:dyDescent="0.15">
      <c r="C207" s="49"/>
      <c r="D207" s="50"/>
      <c r="E207" s="51"/>
      <c r="F207" s="52"/>
      <c r="G207" s="53"/>
      <c r="H207" s="53"/>
    </row>
    <row r="208" spans="3:8" x14ac:dyDescent="0.15">
      <c r="C208" s="49"/>
      <c r="D208" s="50"/>
      <c r="E208" s="51"/>
      <c r="F208" s="52"/>
      <c r="G208" s="53"/>
      <c r="H208" s="53"/>
    </row>
    <row r="209" spans="3:9" x14ac:dyDescent="0.15">
      <c r="C209" s="49"/>
      <c r="D209" s="50"/>
      <c r="E209" s="51"/>
      <c r="F209" s="52"/>
      <c r="G209" s="53"/>
      <c r="H209" s="53"/>
    </row>
    <row r="210" spans="3:9" x14ac:dyDescent="0.15">
      <c r="C210" s="49"/>
      <c r="D210" s="50"/>
      <c r="E210" s="51"/>
      <c r="F210" s="52"/>
      <c r="G210" s="53"/>
      <c r="H210" s="53"/>
    </row>
    <row r="211" spans="3:9" x14ac:dyDescent="0.15">
      <c r="C211" s="49"/>
      <c r="D211" s="50"/>
      <c r="E211" s="51"/>
      <c r="F211" s="52"/>
      <c r="G211" s="53"/>
      <c r="H211" s="53"/>
    </row>
    <row r="212" spans="3:9" x14ac:dyDescent="0.15">
      <c r="C212" s="49"/>
      <c r="D212" s="50"/>
      <c r="E212" s="51"/>
      <c r="F212" s="52"/>
      <c r="G212" s="53"/>
      <c r="H212" s="53"/>
    </row>
    <row r="213" spans="3:9" x14ac:dyDescent="0.15">
      <c r="C213" s="49"/>
      <c r="D213" s="50"/>
      <c r="E213" s="51"/>
      <c r="F213" s="52"/>
      <c r="G213" s="53"/>
      <c r="H213" s="53"/>
      <c r="I213" s="57"/>
    </row>
    <row r="214" spans="3:9" x14ac:dyDescent="0.15">
      <c r="C214" s="49"/>
      <c r="D214" s="50"/>
      <c r="E214" s="51"/>
      <c r="F214" s="52"/>
      <c r="G214" s="53"/>
      <c r="H214" s="53"/>
    </row>
    <row r="215" spans="3:9" x14ac:dyDescent="0.15">
      <c r="C215" s="49"/>
      <c r="D215" s="50"/>
      <c r="E215" s="51"/>
      <c r="F215" s="52"/>
      <c r="G215" s="53"/>
      <c r="H215" s="53"/>
    </row>
    <row r="216" spans="3:9" x14ac:dyDescent="0.15">
      <c r="C216" s="49"/>
      <c r="D216" s="50"/>
      <c r="E216" s="51"/>
      <c r="F216" s="52"/>
      <c r="G216" s="53"/>
      <c r="H216" s="53"/>
    </row>
    <row r="217" spans="3:9" x14ac:dyDescent="0.15">
      <c r="C217" s="49"/>
      <c r="D217" s="50"/>
      <c r="E217" s="51"/>
      <c r="F217" s="52"/>
      <c r="G217" s="53"/>
      <c r="H217" s="53"/>
    </row>
    <row r="218" spans="3:9" x14ac:dyDescent="0.15">
      <c r="C218" s="49"/>
      <c r="D218" s="50"/>
      <c r="E218" s="51"/>
      <c r="F218" s="52"/>
      <c r="G218" s="53"/>
      <c r="H218" s="53"/>
    </row>
    <row r="219" spans="3:9" x14ac:dyDescent="0.15">
      <c r="C219" s="49"/>
      <c r="D219" s="50"/>
      <c r="E219" s="51"/>
      <c r="F219" s="52"/>
      <c r="G219" s="53"/>
      <c r="H219" s="53"/>
    </row>
    <row r="220" spans="3:9" x14ac:dyDescent="0.15">
      <c r="C220" s="49"/>
      <c r="D220" s="50"/>
      <c r="E220" s="51"/>
      <c r="F220" s="52"/>
      <c r="G220" s="53"/>
      <c r="H220" s="53"/>
    </row>
    <row r="221" spans="3:9" x14ac:dyDescent="0.15">
      <c r="C221" s="49"/>
      <c r="D221" s="50"/>
      <c r="E221" s="51"/>
      <c r="F221" s="52"/>
      <c r="G221" s="53"/>
      <c r="H221" s="53"/>
    </row>
    <row r="222" spans="3:9" x14ac:dyDescent="0.15">
      <c r="C222" s="49"/>
      <c r="D222" s="50"/>
      <c r="E222" s="51"/>
      <c r="F222" s="52"/>
      <c r="G222" s="53"/>
      <c r="H222" s="53"/>
    </row>
    <row r="223" spans="3:9" x14ac:dyDescent="0.15">
      <c r="C223" s="49"/>
      <c r="D223" s="50"/>
      <c r="E223" s="51"/>
      <c r="F223" s="52"/>
      <c r="G223" s="53"/>
      <c r="H223" s="53"/>
    </row>
    <row r="224" spans="3:9" x14ac:dyDescent="0.15">
      <c r="C224" s="49"/>
      <c r="D224" s="50"/>
      <c r="E224" s="51"/>
      <c r="F224" s="52"/>
      <c r="G224" s="53"/>
      <c r="H224" s="53"/>
    </row>
    <row r="225" spans="3:8" x14ac:dyDescent="0.15">
      <c r="C225" s="49"/>
      <c r="D225" s="50"/>
      <c r="E225" s="51"/>
      <c r="F225" s="52"/>
      <c r="G225" s="53"/>
      <c r="H225" s="53"/>
    </row>
    <row r="226" spans="3:8" x14ac:dyDescent="0.15">
      <c r="C226" s="49"/>
      <c r="D226" s="50"/>
      <c r="E226" s="51"/>
      <c r="F226" s="52"/>
      <c r="G226" s="53"/>
      <c r="H226" s="53"/>
    </row>
    <row r="227" spans="3:8" x14ac:dyDescent="0.15">
      <c r="C227" s="49"/>
      <c r="D227" s="50"/>
      <c r="E227" s="51"/>
      <c r="F227" s="52"/>
      <c r="G227" s="53"/>
      <c r="H227" s="53"/>
    </row>
    <row r="228" spans="3:8" x14ac:dyDescent="0.15">
      <c r="C228" s="49"/>
      <c r="D228" s="50"/>
      <c r="E228" s="51"/>
      <c r="F228" s="52"/>
      <c r="G228" s="53"/>
      <c r="H228" s="53"/>
    </row>
    <row r="229" spans="3:8" x14ac:dyDescent="0.15">
      <c r="C229" s="49"/>
      <c r="D229" s="50"/>
      <c r="E229" s="51"/>
      <c r="F229" s="52"/>
      <c r="G229" s="53"/>
      <c r="H229" s="53"/>
    </row>
    <row r="230" spans="3:8" x14ac:dyDescent="0.15">
      <c r="C230" s="49"/>
      <c r="D230" s="50"/>
      <c r="E230" s="51"/>
      <c r="F230" s="52"/>
      <c r="G230" s="53"/>
      <c r="H230" s="53"/>
    </row>
    <row r="231" spans="3:8" x14ac:dyDescent="0.15">
      <c r="C231" s="49"/>
      <c r="D231" s="50"/>
      <c r="E231" s="51"/>
      <c r="F231" s="52"/>
      <c r="G231" s="53"/>
      <c r="H231" s="53"/>
    </row>
    <row r="232" spans="3:8" x14ac:dyDescent="0.15">
      <c r="C232" s="49"/>
      <c r="D232" s="50"/>
      <c r="E232" s="51"/>
      <c r="F232" s="52"/>
      <c r="G232" s="53"/>
      <c r="H232" s="53"/>
    </row>
    <row r="233" spans="3:8" x14ac:dyDescent="0.15">
      <c r="C233" s="49"/>
      <c r="D233" s="50"/>
      <c r="E233" s="51"/>
      <c r="F233" s="52"/>
      <c r="G233" s="53"/>
      <c r="H233" s="53"/>
    </row>
    <row r="234" spans="3:8" x14ac:dyDescent="0.15">
      <c r="C234" s="49"/>
      <c r="D234" s="50"/>
      <c r="E234" s="51"/>
      <c r="F234" s="52"/>
      <c r="G234" s="53"/>
      <c r="H234" s="53"/>
    </row>
    <row r="235" spans="3:8" x14ac:dyDescent="0.15">
      <c r="C235" s="49"/>
      <c r="D235" s="50"/>
      <c r="E235" s="51"/>
      <c r="F235" s="52"/>
      <c r="G235" s="53"/>
      <c r="H235" s="53"/>
    </row>
    <row r="236" spans="3:8" x14ac:dyDescent="0.15">
      <c r="C236" s="49"/>
      <c r="D236" s="50"/>
      <c r="E236" s="51"/>
      <c r="F236" s="52"/>
      <c r="G236" s="53"/>
      <c r="H236" s="53"/>
    </row>
    <row r="237" spans="3:8" x14ac:dyDescent="0.15">
      <c r="C237" s="49"/>
      <c r="D237" s="50"/>
      <c r="E237" s="51"/>
      <c r="F237" s="52"/>
      <c r="G237" s="53"/>
      <c r="H237" s="53"/>
    </row>
    <row r="238" spans="3:8" x14ac:dyDescent="0.15">
      <c r="C238" s="49"/>
      <c r="D238" s="50"/>
      <c r="E238" s="51"/>
      <c r="F238" s="52"/>
      <c r="G238" s="53"/>
      <c r="H238" s="53"/>
    </row>
    <row r="239" spans="3:8" x14ac:dyDescent="0.15">
      <c r="C239" s="49"/>
      <c r="D239" s="50"/>
      <c r="E239" s="51"/>
      <c r="F239" s="52"/>
      <c r="G239" s="53"/>
      <c r="H239" s="53"/>
    </row>
    <row r="240" spans="3:8" x14ac:dyDescent="0.15">
      <c r="C240" s="49"/>
      <c r="D240" s="50"/>
      <c r="E240" s="51"/>
      <c r="F240" s="52"/>
      <c r="G240" s="53"/>
      <c r="H240" s="53"/>
    </row>
    <row r="241" spans="3:8" x14ac:dyDescent="0.15">
      <c r="C241" s="49"/>
      <c r="D241" s="50"/>
      <c r="E241" s="51"/>
      <c r="F241" s="52"/>
      <c r="G241" s="53"/>
      <c r="H241" s="53"/>
    </row>
    <row r="242" spans="3:8" x14ac:dyDescent="0.15">
      <c r="C242" s="49"/>
      <c r="D242" s="50"/>
      <c r="E242" s="51"/>
      <c r="F242" s="52"/>
      <c r="G242" s="53"/>
      <c r="H242" s="53"/>
    </row>
    <row r="243" spans="3:8" x14ac:dyDescent="0.15">
      <c r="C243" s="49"/>
      <c r="D243" s="50"/>
      <c r="E243" s="51"/>
      <c r="F243" s="52"/>
      <c r="G243" s="53"/>
      <c r="H243" s="53"/>
    </row>
    <row r="244" spans="3:8" x14ac:dyDescent="0.15">
      <c r="C244" s="49"/>
      <c r="D244" s="50"/>
      <c r="E244" s="51"/>
      <c r="F244" s="52"/>
      <c r="G244" s="53"/>
      <c r="H244" s="53"/>
    </row>
    <row r="245" spans="3:8" x14ac:dyDescent="0.15">
      <c r="C245" s="49"/>
      <c r="D245" s="50"/>
      <c r="E245" s="51"/>
      <c r="F245" s="52"/>
      <c r="G245" s="53"/>
      <c r="H245" s="53"/>
    </row>
    <row r="246" spans="3:8" x14ac:dyDescent="0.15">
      <c r="C246" s="49"/>
      <c r="D246" s="50"/>
      <c r="E246" s="51"/>
      <c r="F246" s="52"/>
      <c r="G246" s="53"/>
      <c r="H246" s="53"/>
    </row>
    <row r="247" spans="3:8" x14ac:dyDescent="0.15">
      <c r="C247" s="49"/>
      <c r="D247" s="50"/>
      <c r="E247" s="51"/>
      <c r="F247" s="52"/>
      <c r="G247" s="53"/>
      <c r="H247" s="53"/>
    </row>
    <row r="248" spans="3:8" x14ac:dyDescent="0.15">
      <c r="C248" s="49"/>
      <c r="D248" s="50"/>
      <c r="E248" s="51"/>
      <c r="F248" s="52"/>
      <c r="G248" s="53"/>
      <c r="H248" s="53"/>
    </row>
    <row r="249" spans="3:8" x14ac:dyDescent="0.15">
      <c r="C249" s="49"/>
      <c r="D249" s="50"/>
      <c r="E249" s="51"/>
      <c r="F249" s="52"/>
      <c r="G249" s="53"/>
      <c r="H249" s="53"/>
    </row>
    <row r="250" spans="3:8" x14ac:dyDescent="0.15">
      <c r="C250" s="49"/>
      <c r="D250" s="50"/>
      <c r="E250" s="51"/>
      <c r="F250" s="52"/>
      <c r="G250" s="53"/>
      <c r="H250" s="53"/>
    </row>
    <row r="251" spans="3:8" x14ac:dyDescent="0.15">
      <c r="C251" s="49"/>
      <c r="D251" s="50"/>
      <c r="E251" s="51"/>
      <c r="F251" s="52"/>
      <c r="G251" s="53"/>
      <c r="H251" s="53"/>
    </row>
    <row r="252" spans="3:8" x14ac:dyDescent="0.15">
      <c r="C252" s="49"/>
      <c r="D252" s="50"/>
      <c r="E252" s="51"/>
      <c r="F252" s="52"/>
      <c r="G252" s="53"/>
      <c r="H252" s="53"/>
    </row>
    <row r="253" spans="3:8" x14ac:dyDescent="0.15">
      <c r="C253" s="49"/>
      <c r="D253" s="50"/>
      <c r="E253" s="51"/>
      <c r="F253" s="52"/>
      <c r="G253" s="53"/>
      <c r="H253" s="53"/>
    </row>
    <row r="254" spans="3:8" x14ac:dyDescent="0.15">
      <c r="C254" s="49"/>
      <c r="D254" s="50"/>
      <c r="E254" s="51"/>
      <c r="F254" s="52"/>
      <c r="G254" s="53"/>
      <c r="H254" s="53"/>
    </row>
    <row r="255" spans="3:8" x14ac:dyDescent="0.15">
      <c r="C255" s="49"/>
      <c r="D255" s="50"/>
      <c r="E255" s="51"/>
      <c r="F255" s="52"/>
      <c r="G255" s="53"/>
      <c r="H255" s="53"/>
    </row>
    <row r="256" spans="3:8" x14ac:dyDescent="0.15">
      <c r="C256" s="49"/>
      <c r="D256" s="50"/>
      <c r="E256" s="51"/>
      <c r="F256" s="52"/>
      <c r="G256" s="53"/>
      <c r="H256" s="53"/>
    </row>
    <row r="257" spans="3:10" x14ac:dyDescent="0.15">
      <c r="C257" s="49"/>
      <c r="D257" s="50"/>
      <c r="E257" s="51"/>
      <c r="F257" s="52"/>
      <c r="G257" s="53"/>
      <c r="H257" s="53"/>
    </row>
    <row r="258" spans="3:10" x14ac:dyDescent="0.15">
      <c r="C258" s="49"/>
      <c r="D258" s="50"/>
      <c r="E258" s="51"/>
      <c r="F258" s="52"/>
      <c r="G258" s="53"/>
      <c r="H258" s="53"/>
    </row>
    <row r="259" spans="3:10" x14ac:dyDescent="0.15">
      <c r="C259" s="49"/>
      <c r="D259" s="50"/>
      <c r="E259" s="51"/>
      <c r="F259" s="52"/>
      <c r="G259" s="53"/>
      <c r="H259" s="53"/>
    </row>
    <row r="260" spans="3:10" x14ac:dyDescent="0.15">
      <c r="C260" s="49"/>
      <c r="D260" s="50"/>
      <c r="E260" s="51"/>
      <c r="F260" s="52"/>
      <c r="G260" s="53"/>
      <c r="H260" s="53"/>
    </row>
    <row r="261" spans="3:10" x14ac:dyDescent="0.15">
      <c r="C261" s="49"/>
      <c r="D261" s="50"/>
      <c r="E261" s="51"/>
      <c r="F261" s="52"/>
      <c r="G261" s="53"/>
      <c r="H261" s="53"/>
    </row>
    <row r="262" spans="3:10" x14ac:dyDescent="0.15">
      <c r="C262" s="49"/>
      <c r="D262" s="50"/>
      <c r="E262" s="51"/>
      <c r="F262" s="52"/>
      <c r="G262" s="53"/>
      <c r="H262" s="53"/>
    </row>
    <row r="263" spans="3:10" x14ac:dyDescent="0.15">
      <c r="C263" s="49"/>
      <c r="D263" s="50"/>
      <c r="E263" s="51"/>
      <c r="F263" s="52"/>
      <c r="G263" s="53"/>
      <c r="H263" s="53"/>
    </row>
    <row r="264" spans="3:10" x14ac:dyDescent="0.15">
      <c r="C264" s="49"/>
      <c r="D264" s="50"/>
      <c r="E264" s="51"/>
      <c r="F264" s="52"/>
      <c r="G264" s="53"/>
      <c r="H264" s="53"/>
    </row>
    <row r="265" spans="3:10" x14ac:dyDescent="0.15">
      <c r="C265" s="49"/>
      <c r="D265" s="50"/>
      <c r="E265" s="51"/>
      <c r="F265" s="52"/>
      <c r="G265" s="53"/>
      <c r="H265" s="53"/>
    </row>
    <row r="266" spans="3:10" x14ac:dyDescent="0.15">
      <c r="C266" s="49"/>
      <c r="D266" s="50"/>
      <c r="E266" s="51"/>
      <c r="F266" s="52"/>
      <c r="G266" s="53"/>
      <c r="H266" s="53"/>
    </row>
    <row r="267" spans="3:10" x14ac:dyDescent="0.15">
      <c r="C267" s="49"/>
      <c r="D267" s="50"/>
      <c r="E267" s="51"/>
      <c r="F267" s="52"/>
      <c r="G267" s="53"/>
      <c r="H267" s="53"/>
    </row>
    <row r="268" spans="3:10" x14ac:dyDescent="0.15">
      <c r="C268" s="49"/>
      <c r="D268" s="50"/>
      <c r="E268" s="51"/>
      <c r="F268" s="52"/>
      <c r="G268" s="53"/>
      <c r="H268" s="53"/>
    </row>
    <row r="269" spans="3:10" x14ac:dyDescent="0.15">
      <c r="C269" s="49"/>
      <c r="D269" s="50"/>
      <c r="E269" s="51"/>
      <c r="F269" s="52"/>
      <c r="G269" s="53"/>
      <c r="H269" s="53"/>
    </row>
    <row r="270" spans="3:10" x14ac:dyDescent="0.15">
      <c r="C270" s="49"/>
      <c r="D270" s="50"/>
      <c r="E270" s="51"/>
      <c r="F270" s="52"/>
      <c r="G270" s="53"/>
      <c r="H270" s="53"/>
      <c r="J270" s="58"/>
    </row>
    <row r="271" spans="3:10" x14ac:dyDescent="0.15">
      <c r="C271" s="49"/>
      <c r="D271" s="50"/>
      <c r="E271" s="51"/>
      <c r="F271" s="52"/>
      <c r="G271" s="53"/>
      <c r="H271" s="53"/>
    </row>
    <row r="272" spans="3:10" x14ac:dyDescent="0.15">
      <c r="C272" s="49"/>
      <c r="D272" s="50"/>
      <c r="E272" s="51"/>
      <c r="F272" s="52"/>
      <c r="G272" s="53"/>
      <c r="H272" s="53"/>
    </row>
    <row r="273" spans="3:8" x14ac:dyDescent="0.15">
      <c r="C273" s="49"/>
      <c r="D273" s="50"/>
      <c r="E273" s="51"/>
      <c r="F273" s="52"/>
      <c r="G273" s="53"/>
      <c r="H273" s="53"/>
    </row>
    <row r="274" spans="3:8" x14ac:dyDescent="0.15">
      <c r="C274" s="49"/>
      <c r="D274" s="50"/>
      <c r="E274" s="51"/>
      <c r="F274" s="52"/>
      <c r="G274" s="53"/>
      <c r="H274" s="53"/>
    </row>
    <row r="275" spans="3:8" x14ac:dyDescent="0.15">
      <c r="C275" s="49"/>
      <c r="D275" s="50"/>
      <c r="E275" s="51"/>
      <c r="F275" s="52"/>
      <c r="G275" s="53"/>
      <c r="H275" s="53"/>
    </row>
    <row r="276" spans="3:8" x14ac:dyDescent="0.15">
      <c r="C276" s="49"/>
      <c r="D276" s="50"/>
      <c r="E276" s="51"/>
      <c r="F276" s="52"/>
      <c r="G276" s="53"/>
      <c r="H276" s="53"/>
    </row>
    <row r="277" spans="3:8" x14ac:dyDescent="0.15">
      <c r="C277" s="49"/>
      <c r="D277" s="50"/>
      <c r="E277" s="51"/>
      <c r="F277" s="52"/>
      <c r="G277" s="53"/>
      <c r="H277" s="53"/>
    </row>
    <row r="278" spans="3:8" x14ac:dyDescent="0.15">
      <c r="C278" s="49"/>
      <c r="D278" s="50"/>
      <c r="E278" s="51"/>
      <c r="F278" s="52"/>
      <c r="G278" s="53"/>
      <c r="H278" s="53"/>
    </row>
    <row r="279" spans="3:8" x14ac:dyDescent="0.15">
      <c r="C279" s="49"/>
      <c r="D279" s="50"/>
      <c r="E279" s="51"/>
      <c r="F279" s="52"/>
      <c r="G279" s="53"/>
      <c r="H279" s="53"/>
    </row>
    <row r="280" spans="3:8" x14ac:dyDescent="0.15">
      <c r="C280" s="49"/>
      <c r="D280" s="50"/>
      <c r="E280" s="51"/>
      <c r="F280" s="52"/>
      <c r="G280" s="53"/>
      <c r="H280" s="53"/>
    </row>
    <row r="281" spans="3:8" x14ac:dyDescent="0.15">
      <c r="C281" s="49"/>
      <c r="D281" s="50"/>
      <c r="E281" s="51"/>
      <c r="F281" s="52"/>
      <c r="G281" s="53"/>
      <c r="H281" s="53"/>
    </row>
    <row r="282" spans="3:8" x14ac:dyDescent="0.15">
      <c r="C282" s="49"/>
      <c r="D282" s="50"/>
      <c r="E282" s="51"/>
      <c r="F282" s="52"/>
      <c r="G282" s="53"/>
      <c r="H282" s="53"/>
    </row>
    <row r="283" spans="3:8" x14ac:dyDescent="0.15">
      <c r="C283" s="49"/>
      <c r="D283" s="50"/>
      <c r="E283" s="51"/>
      <c r="F283" s="52"/>
      <c r="G283" s="53"/>
      <c r="H283" s="53"/>
    </row>
    <row r="284" spans="3:8" x14ac:dyDescent="0.15">
      <c r="C284" s="49"/>
      <c r="D284" s="50"/>
      <c r="E284" s="51"/>
      <c r="F284" s="52"/>
      <c r="G284" s="53"/>
      <c r="H284" s="53"/>
    </row>
    <row r="285" spans="3:8" x14ac:dyDescent="0.15">
      <c r="C285" s="49"/>
      <c r="D285" s="50"/>
      <c r="E285" s="51"/>
      <c r="F285" s="52"/>
      <c r="G285" s="53"/>
      <c r="H285" s="53"/>
    </row>
    <row r="286" spans="3:8" x14ac:dyDescent="0.15">
      <c r="C286" s="49"/>
      <c r="D286" s="50"/>
      <c r="E286" s="51"/>
      <c r="F286" s="52"/>
      <c r="G286" s="53"/>
      <c r="H286" s="53"/>
    </row>
    <row r="287" spans="3:8" x14ac:dyDescent="0.15">
      <c r="C287" s="49"/>
      <c r="D287" s="50"/>
      <c r="E287" s="51"/>
      <c r="F287" s="52"/>
      <c r="G287" s="53"/>
      <c r="H287" s="53"/>
    </row>
    <row r="288" spans="3:8" x14ac:dyDescent="0.15">
      <c r="C288" s="49"/>
      <c r="D288" s="50"/>
      <c r="E288" s="51"/>
      <c r="F288" s="52"/>
      <c r="G288" s="53"/>
      <c r="H288" s="53"/>
    </row>
    <row r="289" spans="3:10" x14ac:dyDescent="0.15">
      <c r="C289" s="49"/>
      <c r="D289" s="50"/>
      <c r="E289" s="51"/>
      <c r="F289" s="52"/>
      <c r="G289" s="53"/>
      <c r="H289" s="53"/>
    </row>
    <row r="290" spans="3:10" x14ac:dyDescent="0.15">
      <c r="C290" s="49"/>
      <c r="D290" s="50"/>
      <c r="E290" s="51"/>
      <c r="F290" s="52"/>
      <c r="G290" s="53"/>
      <c r="H290" s="53"/>
      <c r="J290" s="58"/>
    </row>
    <row r="291" spans="3:10" x14ac:dyDescent="0.15">
      <c r="C291" s="49"/>
      <c r="D291" s="50"/>
      <c r="E291" s="51"/>
      <c r="F291" s="52"/>
      <c r="G291" s="53"/>
      <c r="H291" s="53"/>
    </row>
    <row r="292" spans="3:10" x14ac:dyDescent="0.15">
      <c r="C292" s="49"/>
      <c r="D292" s="50"/>
      <c r="E292" s="51"/>
      <c r="F292" s="52"/>
      <c r="G292" s="53"/>
      <c r="H292" s="53"/>
    </row>
    <row r="293" spans="3:10" x14ac:dyDescent="0.15">
      <c r="C293" s="49"/>
      <c r="D293" s="50"/>
      <c r="E293" s="51"/>
      <c r="F293" s="52"/>
      <c r="G293" s="53"/>
      <c r="H293" s="53"/>
    </row>
    <row r="294" spans="3:10" x14ac:dyDescent="0.15">
      <c r="C294" s="49"/>
      <c r="D294" s="50"/>
      <c r="E294" s="51"/>
      <c r="F294" s="52"/>
      <c r="G294" s="53"/>
      <c r="H294" s="53"/>
    </row>
    <row r="295" spans="3:10" x14ac:dyDescent="0.15">
      <c r="C295" s="49"/>
      <c r="D295" s="50"/>
      <c r="E295" s="51"/>
      <c r="F295" s="52"/>
      <c r="G295" s="53"/>
      <c r="H295" s="53"/>
    </row>
    <row r="296" spans="3:10" x14ac:dyDescent="0.15">
      <c r="C296" s="49"/>
      <c r="D296" s="50"/>
      <c r="E296" s="51"/>
      <c r="F296" s="52"/>
      <c r="G296" s="53"/>
      <c r="H296" s="53"/>
    </row>
    <row r="297" spans="3:10" x14ac:dyDescent="0.15">
      <c r="C297" s="49"/>
      <c r="D297" s="50"/>
      <c r="E297" s="51"/>
      <c r="F297" s="52"/>
      <c r="G297" s="53"/>
      <c r="H297" s="53"/>
      <c r="J297" s="58"/>
    </row>
    <row r="298" spans="3:10" x14ac:dyDescent="0.15">
      <c r="C298" s="49"/>
      <c r="D298" s="50"/>
      <c r="E298" s="51"/>
      <c r="F298" s="52"/>
      <c r="G298" s="53"/>
      <c r="H298" s="53"/>
    </row>
    <row r="299" spans="3:10" x14ac:dyDescent="0.15">
      <c r="C299" s="49"/>
      <c r="D299" s="50"/>
      <c r="E299" s="51"/>
      <c r="F299" s="52"/>
      <c r="G299" s="53"/>
      <c r="H299" s="53"/>
    </row>
    <row r="300" spans="3:10" s="59" customFormat="1" x14ac:dyDescent="0.15">
      <c r="C300" s="49"/>
      <c r="D300" s="50"/>
      <c r="E300" s="51"/>
      <c r="F300" s="52"/>
      <c r="G300" s="53"/>
      <c r="H300" s="53"/>
      <c r="I300" s="57"/>
    </row>
    <row r="301" spans="3:10" x14ac:dyDescent="0.15">
      <c r="C301" s="49"/>
      <c r="D301" s="50"/>
      <c r="E301" s="51"/>
      <c r="F301" s="52"/>
      <c r="G301" s="53"/>
      <c r="H301" s="53"/>
    </row>
    <row r="302" spans="3:10" x14ac:dyDescent="0.15">
      <c r="C302" s="49"/>
      <c r="D302" s="50"/>
      <c r="E302" s="51"/>
      <c r="F302" s="52"/>
      <c r="G302" s="53"/>
      <c r="H302" s="53"/>
    </row>
    <row r="303" spans="3:10" x14ac:dyDescent="0.15">
      <c r="C303" s="49"/>
      <c r="D303" s="50"/>
      <c r="E303" s="51"/>
      <c r="F303" s="52"/>
      <c r="G303" s="53"/>
      <c r="H303" s="53"/>
    </row>
    <row r="304" spans="3:10" x14ac:dyDescent="0.15">
      <c r="C304" s="49"/>
      <c r="D304" s="50"/>
      <c r="E304" s="51"/>
      <c r="F304" s="52"/>
      <c r="G304" s="53"/>
      <c r="H304" s="53"/>
    </row>
    <row r="305" spans="3:8" x14ac:dyDescent="0.15">
      <c r="C305" s="49"/>
      <c r="D305" s="50"/>
      <c r="E305" s="51"/>
      <c r="F305" s="52"/>
      <c r="G305" s="53"/>
      <c r="H305" s="53"/>
    </row>
    <row r="306" spans="3:8" x14ac:dyDescent="0.15">
      <c r="C306" s="49"/>
      <c r="D306" s="50"/>
      <c r="E306" s="51"/>
      <c r="F306" s="52"/>
      <c r="G306" s="53"/>
      <c r="H306" s="53"/>
    </row>
    <row r="307" spans="3:8" x14ac:dyDescent="0.15">
      <c r="C307" s="49"/>
      <c r="D307" s="50"/>
      <c r="E307" s="51"/>
      <c r="F307" s="52"/>
      <c r="G307" s="53"/>
      <c r="H307" s="53"/>
    </row>
    <row r="308" spans="3:8" x14ac:dyDescent="0.15">
      <c r="C308" s="49"/>
      <c r="D308" s="50"/>
      <c r="E308" s="51"/>
      <c r="F308" s="52"/>
      <c r="G308" s="53"/>
      <c r="H308" s="53"/>
    </row>
    <row r="309" spans="3:8" x14ac:dyDescent="0.15">
      <c r="C309" s="49"/>
      <c r="D309" s="50"/>
      <c r="E309" s="51"/>
      <c r="F309" s="52"/>
      <c r="G309" s="53"/>
      <c r="H309" s="53"/>
    </row>
    <row r="310" spans="3:8" x14ac:dyDescent="0.15">
      <c r="C310" s="49"/>
      <c r="D310" s="50"/>
      <c r="E310" s="51"/>
      <c r="F310" s="52"/>
      <c r="G310" s="53"/>
      <c r="H310" s="53"/>
    </row>
    <row r="311" spans="3:8" x14ac:dyDescent="0.15">
      <c r="C311" s="49"/>
      <c r="D311" s="50"/>
      <c r="E311" s="51"/>
      <c r="F311" s="52"/>
      <c r="G311" s="53"/>
      <c r="H311" s="53"/>
    </row>
    <row r="312" spans="3:8" x14ac:dyDescent="0.15">
      <c r="C312" s="49"/>
      <c r="D312" s="50"/>
      <c r="E312" s="51"/>
      <c r="F312" s="52"/>
      <c r="G312" s="53"/>
      <c r="H312" s="53"/>
    </row>
    <row r="313" spans="3:8" x14ac:dyDescent="0.15">
      <c r="C313" s="49"/>
      <c r="D313" s="50"/>
      <c r="E313" s="51"/>
      <c r="F313" s="52"/>
      <c r="G313" s="53"/>
      <c r="H313" s="53"/>
    </row>
    <row r="314" spans="3:8" x14ac:dyDescent="0.15">
      <c r="C314" s="49"/>
      <c r="D314" s="50"/>
      <c r="E314" s="51"/>
      <c r="F314" s="52"/>
      <c r="G314" s="53"/>
      <c r="H314" s="53"/>
    </row>
    <row r="315" spans="3:8" x14ac:dyDescent="0.15">
      <c r="C315" s="49"/>
      <c r="D315" s="50"/>
      <c r="E315" s="51"/>
      <c r="F315" s="52"/>
      <c r="G315" s="53"/>
      <c r="H315" s="53"/>
    </row>
    <row r="316" spans="3:8" x14ac:dyDescent="0.15">
      <c r="C316" s="49"/>
      <c r="D316" s="50"/>
      <c r="E316" s="51"/>
      <c r="F316" s="52"/>
      <c r="G316" s="53"/>
      <c r="H316" s="53"/>
    </row>
    <row r="317" spans="3:8" x14ac:dyDescent="0.15">
      <c r="C317" s="49"/>
      <c r="D317" s="50"/>
      <c r="E317" s="51"/>
      <c r="F317" s="52"/>
      <c r="G317" s="53"/>
      <c r="H317" s="53"/>
    </row>
    <row r="318" spans="3:8" x14ac:dyDescent="0.15">
      <c r="C318" s="49"/>
      <c r="D318" s="50"/>
      <c r="E318" s="51"/>
      <c r="F318" s="52"/>
      <c r="G318" s="53"/>
      <c r="H318" s="53"/>
    </row>
    <row r="319" spans="3:8" x14ac:dyDescent="0.15">
      <c r="C319" s="49"/>
      <c r="D319" s="50"/>
      <c r="E319" s="51"/>
      <c r="F319" s="52"/>
      <c r="G319" s="53"/>
      <c r="H319" s="53"/>
    </row>
    <row r="320" spans="3:8" x14ac:dyDescent="0.15">
      <c r="C320" s="49"/>
      <c r="D320" s="50"/>
      <c r="E320" s="51"/>
      <c r="F320" s="52"/>
      <c r="G320" s="53"/>
      <c r="H320" s="53"/>
    </row>
    <row r="321" spans="3:8" x14ac:dyDescent="0.15">
      <c r="C321" s="49"/>
      <c r="D321" s="50"/>
      <c r="E321" s="51"/>
      <c r="F321" s="52"/>
      <c r="G321" s="53"/>
      <c r="H321" s="53"/>
    </row>
    <row r="322" spans="3:8" x14ac:dyDescent="0.15">
      <c r="C322" s="49"/>
      <c r="D322" s="50"/>
      <c r="E322" s="51"/>
      <c r="F322" s="52"/>
      <c r="G322" s="53"/>
      <c r="H322" s="53"/>
    </row>
    <row r="323" spans="3:8" x14ac:dyDescent="0.15">
      <c r="C323" s="49"/>
      <c r="D323" s="50"/>
      <c r="E323" s="51"/>
      <c r="F323" s="52"/>
      <c r="G323" s="53"/>
      <c r="H323" s="53"/>
    </row>
    <row r="324" spans="3:8" x14ac:dyDescent="0.15">
      <c r="C324" s="49"/>
      <c r="D324" s="50"/>
      <c r="E324" s="51"/>
      <c r="F324" s="52"/>
      <c r="G324" s="53"/>
      <c r="H324" s="53"/>
    </row>
    <row r="325" spans="3:8" x14ac:dyDescent="0.15">
      <c r="C325" s="49"/>
      <c r="D325" s="50"/>
      <c r="E325" s="51"/>
      <c r="F325" s="52"/>
      <c r="G325" s="53"/>
      <c r="H325" s="53"/>
    </row>
    <row r="326" spans="3:8" x14ac:dyDescent="0.15">
      <c r="C326" s="49"/>
      <c r="D326" s="50"/>
      <c r="E326" s="51"/>
      <c r="F326" s="52"/>
      <c r="G326" s="53"/>
      <c r="H326" s="53"/>
    </row>
    <row r="327" spans="3:8" x14ac:dyDescent="0.15">
      <c r="C327" s="49"/>
      <c r="D327" s="50"/>
      <c r="E327" s="51"/>
      <c r="F327" s="52"/>
      <c r="G327" s="53"/>
      <c r="H327" s="53"/>
    </row>
    <row r="328" spans="3:8" x14ac:dyDescent="0.15">
      <c r="C328" s="49"/>
      <c r="D328" s="50"/>
      <c r="E328" s="51"/>
      <c r="F328" s="52"/>
      <c r="G328" s="53"/>
      <c r="H328" s="53"/>
    </row>
    <row r="329" spans="3:8" x14ac:dyDescent="0.15">
      <c r="C329" s="49"/>
      <c r="D329" s="50"/>
      <c r="E329" s="51"/>
      <c r="F329" s="52"/>
      <c r="G329" s="53"/>
      <c r="H329" s="53"/>
    </row>
    <row r="330" spans="3:8" x14ac:dyDescent="0.15">
      <c r="C330" s="49"/>
      <c r="D330" s="50"/>
      <c r="E330" s="51"/>
      <c r="F330" s="52"/>
      <c r="G330" s="53"/>
      <c r="H330" s="53"/>
    </row>
    <row r="331" spans="3:8" x14ac:dyDescent="0.15">
      <c r="C331" s="49"/>
      <c r="D331" s="50"/>
      <c r="E331" s="51"/>
      <c r="F331" s="52"/>
      <c r="G331" s="53"/>
      <c r="H331" s="53"/>
    </row>
    <row r="332" spans="3:8" x14ac:dyDescent="0.15">
      <c r="C332" s="49"/>
      <c r="D332" s="50"/>
      <c r="E332" s="51"/>
      <c r="F332" s="52"/>
      <c r="G332" s="53"/>
      <c r="H332" s="53"/>
    </row>
    <row r="333" spans="3:8" x14ac:dyDescent="0.15">
      <c r="C333" s="49"/>
      <c r="D333" s="50"/>
      <c r="E333" s="51"/>
      <c r="F333" s="52"/>
      <c r="G333" s="53"/>
      <c r="H333" s="53"/>
    </row>
    <row r="334" spans="3:8" x14ac:dyDescent="0.15">
      <c r="C334" s="49"/>
      <c r="D334" s="50"/>
      <c r="E334" s="51"/>
      <c r="F334" s="52"/>
      <c r="G334" s="53"/>
      <c r="H334" s="53"/>
    </row>
    <row r="335" spans="3:8" x14ac:dyDescent="0.15">
      <c r="C335" s="49"/>
      <c r="D335" s="50"/>
      <c r="E335" s="51"/>
      <c r="F335" s="52"/>
      <c r="G335" s="53"/>
      <c r="H335" s="53"/>
    </row>
    <row r="336" spans="3:8" x14ac:dyDescent="0.15">
      <c r="C336" s="49"/>
      <c r="D336" s="50"/>
      <c r="E336" s="51"/>
      <c r="F336" s="52"/>
      <c r="G336" s="53"/>
      <c r="H336" s="53"/>
    </row>
    <row r="337" spans="3:8" x14ac:dyDescent="0.15">
      <c r="C337" s="49"/>
      <c r="D337" s="50"/>
      <c r="E337" s="51"/>
      <c r="F337" s="52"/>
      <c r="G337" s="53"/>
      <c r="H337" s="53"/>
    </row>
    <row r="338" spans="3:8" x14ac:dyDescent="0.15">
      <c r="C338" s="49"/>
      <c r="D338" s="50"/>
      <c r="E338" s="51"/>
      <c r="F338" s="52"/>
      <c r="G338" s="53"/>
      <c r="H338" s="53"/>
    </row>
    <row r="339" spans="3:8" x14ac:dyDescent="0.15">
      <c r="C339" s="49"/>
      <c r="D339" s="50"/>
      <c r="E339" s="51"/>
      <c r="F339" s="52"/>
      <c r="G339" s="53"/>
      <c r="H339" s="53"/>
    </row>
    <row r="340" spans="3:8" x14ac:dyDescent="0.15">
      <c r="C340" s="49"/>
      <c r="D340" s="50"/>
      <c r="E340" s="51"/>
      <c r="F340" s="52"/>
      <c r="G340" s="53"/>
      <c r="H340" s="53"/>
    </row>
    <row r="341" spans="3:8" x14ac:dyDescent="0.15">
      <c r="C341" s="49"/>
      <c r="D341" s="50"/>
      <c r="E341" s="51"/>
      <c r="F341" s="52"/>
      <c r="G341" s="53"/>
      <c r="H341" s="53"/>
    </row>
    <row r="342" spans="3:8" x14ac:dyDescent="0.15">
      <c r="C342" s="49"/>
      <c r="D342" s="50"/>
      <c r="E342" s="51"/>
      <c r="F342" s="52"/>
      <c r="G342" s="53"/>
      <c r="H342" s="53"/>
    </row>
    <row r="343" spans="3:8" x14ac:dyDescent="0.15">
      <c r="C343" s="49"/>
      <c r="D343" s="50"/>
      <c r="E343" s="51"/>
      <c r="F343" s="52"/>
      <c r="G343" s="53"/>
      <c r="H343" s="53"/>
    </row>
    <row r="344" spans="3:8" x14ac:dyDescent="0.15">
      <c r="C344" s="49"/>
      <c r="D344" s="50"/>
      <c r="E344" s="51"/>
      <c r="F344" s="52"/>
      <c r="G344" s="53"/>
      <c r="H344" s="53"/>
    </row>
    <row r="345" spans="3:8" x14ac:dyDescent="0.15">
      <c r="C345" s="49"/>
      <c r="D345" s="50"/>
      <c r="E345" s="51"/>
      <c r="F345" s="52"/>
      <c r="G345" s="53"/>
      <c r="H345" s="53"/>
    </row>
    <row r="346" spans="3:8" x14ac:dyDescent="0.15">
      <c r="C346" s="49"/>
      <c r="D346" s="50"/>
      <c r="E346" s="51"/>
      <c r="F346" s="52"/>
      <c r="G346" s="53"/>
      <c r="H346" s="53"/>
    </row>
    <row r="347" spans="3:8" x14ac:dyDescent="0.15">
      <c r="C347" s="49"/>
      <c r="D347" s="50"/>
      <c r="E347" s="51"/>
      <c r="F347" s="52"/>
      <c r="G347" s="53"/>
      <c r="H347" s="53"/>
    </row>
    <row r="348" spans="3:8" x14ac:dyDescent="0.15">
      <c r="C348" s="49"/>
      <c r="D348" s="50"/>
      <c r="E348" s="51"/>
      <c r="F348" s="52"/>
      <c r="G348" s="53"/>
      <c r="H348" s="53"/>
    </row>
    <row r="349" spans="3:8" x14ac:dyDescent="0.15">
      <c r="C349" s="49"/>
      <c r="D349" s="50"/>
      <c r="E349" s="51"/>
      <c r="F349" s="52"/>
      <c r="G349" s="53"/>
      <c r="H349" s="53"/>
    </row>
    <row r="350" spans="3:8" x14ac:dyDescent="0.15">
      <c r="C350" s="49"/>
      <c r="D350" s="50"/>
      <c r="E350" s="60"/>
      <c r="F350" s="52"/>
      <c r="G350" s="53"/>
      <c r="H350" s="53"/>
    </row>
    <row r="351" spans="3:8" x14ac:dyDescent="0.15">
      <c r="C351" s="49"/>
      <c r="D351" s="50"/>
      <c r="E351" s="51"/>
      <c r="F351" s="52"/>
      <c r="G351" s="53"/>
      <c r="H351" s="53"/>
    </row>
    <row r="352" spans="3:8" x14ac:dyDescent="0.15">
      <c r="C352" s="49"/>
      <c r="D352" s="50"/>
      <c r="E352" s="51"/>
      <c r="F352" s="52"/>
      <c r="G352" s="53"/>
      <c r="H352" s="53"/>
    </row>
    <row r="353" spans="3:8" x14ac:dyDescent="0.15">
      <c r="C353" s="49"/>
      <c r="D353" s="50"/>
      <c r="E353" s="51"/>
      <c r="F353" s="52"/>
      <c r="G353" s="53"/>
      <c r="H353" s="53"/>
    </row>
    <row r="354" spans="3:8" x14ac:dyDescent="0.15">
      <c r="C354" s="49"/>
      <c r="D354" s="50"/>
      <c r="E354" s="51"/>
      <c r="F354" s="52"/>
      <c r="G354" s="53"/>
      <c r="H354" s="53"/>
    </row>
    <row r="355" spans="3:8" x14ac:dyDescent="0.15">
      <c r="C355" s="49"/>
      <c r="D355" s="50"/>
      <c r="E355" s="51"/>
      <c r="F355" s="52"/>
      <c r="G355" s="53"/>
      <c r="H355" s="53"/>
    </row>
    <row r="356" spans="3:8" x14ac:dyDescent="0.15">
      <c r="C356" s="49"/>
      <c r="D356" s="50"/>
      <c r="E356" s="51"/>
      <c r="F356" s="52"/>
      <c r="G356" s="53"/>
      <c r="H356" s="53"/>
    </row>
    <row r="357" spans="3:8" x14ac:dyDescent="0.15">
      <c r="C357" s="49"/>
      <c r="D357" s="50"/>
      <c r="E357" s="51"/>
      <c r="F357" s="52"/>
      <c r="G357" s="53"/>
      <c r="H357" s="53"/>
    </row>
    <row r="358" spans="3:8" x14ac:dyDescent="0.15">
      <c r="C358" s="49"/>
      <c r="D358" s="50"/>
      <c r="E358" s="51"/>
      <c r="F358" s="52"/>
      <c r="G358" s="53"/>
      <c r="H358" s="53"/>
    </row>
    <row r="359" spans="3:8" x14ac:dyDescent="0.15">
      <c r="C359" s="49"/>
      <c r="D359" s="50"/>
      <c r="E359" s="51"/>
      <c r="F359" s="52"/>
      <c r="G359" s="53"/>
      <c r="H359" s="53"/>
    </row>
    <row r="360" spans="3:8" x14ac:dyDescent="0.15">
      <c r="C360" s="49"/>
      <c r="D360" s="50"/>
      <c r="E360" s="51"/>
      <c r="F360" s="52"/>
      <c r="G360" s="53"/>
      <c r="H360" s="53"/>
    </row>
    <row r="361" spans="3:8" x14ac:dyDescent="0.15">
      <c r="C361" s="49"/>
      <c r="D361" s="50"/>
      <c r="E361" s="51"/>
      <c r="F361" s="52"/>
      <c r="G361" s="53"/>
      <c r="H361" s="53"/>
    </row>
    <row r="362" spans="3:8" x14ac:dyDescent="0.15">
      <c r="C362" s="49"/>
      <c r="D362" s="50"/>
      <c r="E362" s="51"/>
      <c r="F362" s="52"/>
      <c r="G362" s="53"/>
      <c r="H362" s="53"/>
    </row>
    <row r="363" spans="3:8" x14ac:dyDescent="0.15">
      <c r="C363" s="49"/>
      <c r="D363" s="50"/>
      <c r="E363" s="51"/>
      <c r="F363" s="52"/>
      <c r="G363" s="53"/>
      <c r="H363" s="53"/>
    </row>
    <row r="364" spans="3:8" x14ac:dyDescent="0.15">
      <c r="C364" s="49"/>
      <c r="D364" s="50"/>
      <c r="E364" s="51"/>
      <c r="F364" s="52"/>
      <c r="G364" s="53"/>
      <c r="H364" s="53"/>
    </row>
    <row r="365" spans="3:8" x14ac:dyDescent="0.15">
      <c r="C365" s="49"/>
      <c r="D365" s="50"/>
      <c r="E365" s="51"/>
      <c r="F365" s="52"/>
      <c r="G365" s="53"/>
      <c r="H365" s="53"/>
    </row>
    <row r="366" spans="3:8" x14ac:dyDescent="0.15">
      <c r="C366" s="49"/>
      <c r="D366" s="50"/>
      <c r="E366" s="51"/>
      <c r="F366" s="52"/>
      <c r="G366" s="53"/>
      <c r="H366" s="53"/>
    </row>
    <row r="367" spans="3:8" x14ac:dyDescent="0.15">
      <c r="C367" s="49"/>
      <c r="D367" s="50"/>
      <c r="E367" s="51"/>
      <c r="F367" s="52"/>
      <c r="G367" s="53"/>
      <c r="H367" s="53"/>
    </row>
    <row r="368" spans="3:8" x14ac:dyDescent="0.15">
      <c r="C368" s="49"/>
      <c r="D368" s="50"/>
      <c r="E368" s="51"/>
      <c r="F368" s="52"/>
      <c r="G368" s="53"/>
      <c r="H368" s="53"/>
    </row>
    <row r="369" spans="3:8" x14ac:dyDescent="0.15">
      <c r="C369" s="49"/>
      <c r="D369" s="50"/>
      <c r="E369" s="51"/>
      <c r="F369" s="52"/>
      <c r="G369" s="53"/>
      <c r="H369" s="53"/>
    </row>
    <row r="370" spans="3:8" x14ac:dyDescent="0.15">
      <c r="C370" s="49"/>
      <c r="D370" s="50"/>
      <c r="E370" s="51"/>
      <c r="F370" s="52"/>
      <c r="G370" s="53"/>
      <c r="H370" s="53"/>
    </row>
    <row r="371" spans="3:8" x14ac:dyDescent="0.15">
      <c r="C371" s="49"/>
      <c r="D371" s="50"/>
      <c r="E371" s="51"/>
      <c r="F371" s="52"/>
      <c r="G371" s="53"/>
      <c r="H371" s="53"/>
    </row>
    <row r="372" spans="3:8" x14ac:dyDescent="0.15">
      <c r="C372" s="49"/>
      <c r="D372" s="50"/>
      <c r="E372" s="51"/>
      <c r="F372" s="52"/>
      <c r="G372" s="53"/>
      <c r="H372" s="53"/>
    </row>
    <row r="373" spans="3:8" x14ac:dyDescent="0.15">
      <c r="C373" s="49"/>
      <c r="D373" s="50"/>
      <c r="E373" s="51"/>
      <c r="F373" s="52"/>
      <c r="G373" s="53"/>
      <c r="H373" s="53"/>
    </row>
    <row r="374" spans="3:8" x14ac:dyDescent="0.15">
      <c r="C374" s="49"/>
      <c r="D374" s="50"/>
      <c r="E374" s="51"/>
      <c r="F374" s="52"/>
      <c r="G374" s="53"/>
      <c r="H374" s="53"/>
    </row>
    <row r="375" spans="3:8" x14ac:dyDescent="0.15">
      <c r="C375" s="49"/>
      <c r="D375" s="50"/>
      <c r="E375" s="51"/>
      <c r="F375" s="52"/>
      <c r="G375" s="53"/>
      <c r="H375" s="53"/>
    </row>
    <row r="376" spans="3:8" x14ac:dyDescent="0.15">
      <c r="C376" s="49"/>
      <c r="D376" s="50"/>
      <c r="E376" s="51"/>
      <c r="F376" s="52"/>
      <c r="G376" s="53"/>
      <c r="H376" s="53"/>
    </row>
    <row r="377" spans="3:8" x14ac:dyDescent="0.15">
      <c r="C377" s="49"/>
      <c r="D377" s="50"/>
      <c r="E377" s="51"/>
      <c r="F377" s="52"/>
      <c r="G377" s="53"/>
      <c r="H377" s="53"/>
    </row>
    <row r="378" spans="3:8" x14ac:dyDescent="0.15">
      <c r="C378" s="49"/>
      <c r="D378" s="50"/>
      <c r="E378" s="51"/>
      <c r="F378" s="52"/>
      <c r="G378" s="53"/>
      <c r="H378" s="53"/>
    </row>
    <row r="379" spans="3:8" x14ac:dyDescent="0.15">
      <c r="C379" s="49"/>
      <c r="D379" s="50"/>
      <c r="E379" s="51"/>
      <c r="F379" s="52"/>
      <c r="G379" s="53"/>
      <c r="H379" s="53"/>
    </row>
    <row r="380" spans="3:8" x14ac:dyDescent="0.15">
      <c r="C380" s="49"/>
      <c r="D380" s="50"/>
      <c r="E380" s="51"/>
      <c r="F380" s="52"/>
      <c r="G380" s="53"/>
      <c r="H380" s="53"/>
    </row>
    <row r="381" spans="3:8" x14ac:dyDescent="0.15">
      <c r="C381" s="49"/>
      <c r="D381" s="50"/>
      <c r="E381" s="51"/>
      <c r="F381" s="52"/>
      <c r="G381" s="53"/>
      <c r="H381" s="53"/>
    </row>
    <row r="382" spans="3:8" x14ac:dyDescent="0.15">
      <c r="C382" s="49"/>
      <c r="D382" s="50"/>
      <c r="E382" s="51"/>
      <c r="F382" s="52"/>
      <c r="G382" s="53"/>
      <c r="H382" s="53"/>
    </row>
    <row r="383" spans="3:8" x14ac:dyDescent="0.15">
      <c r="C383" s="49"/>
      <c r="D383" s="50"/>
      <c r="E383" s="51"/>
      <c r="F383" s="52"/>
      <c r="G383" s="53"/>
      <c r="H383" s="53"/>
    </row>
    <row r="384" spans="3:8" x14ac:dyDescent="0.15">
      <c r="C384" s="49"/>
      <c r="D384" s="50"/>
      <c r="E384" s="51"/>
      <c r="F384" s="52"/>
      <c r="G384" s="53"/>
      <c r="H384" s="53"/>
    </row>
    <row r="385" spans="3:8" x14ac:dyDescent="0.15">
      <c r="C385" s="49"/>
      <c r="D385" s="50"/>
      <c r="E385" s="51"/>
      <c r="F385" s="52"/>
      <c r="G385" s="53"/>
      <c r="H385" s="53"/>
    </row>
    <row r="386" spans="3:8" x14ac:dyDescent="0.15">
      <c r="C386" s="49"/>
      <c r="D386" s="50"/>
      <c r="E386" s="51"/>
      <c r="F386" s="52"/>
      <c r="G386" s="53"/>
      <c r="H386" s="53"/>
    </row>
    <row r="387" spans="3:8" x14ac:dyDescent="0.15">
      <c r="C387" s="49"/>
      <c r="D387" s="50"/>
      <c r="E387" s="51"/>
      <c r="F387" s="52"/>
      <c r="G387" s="53"/>
      <c r="H387" s="53"/>
    </row>
    <row r="388" spans="3:8" x14ac:dyDescent="0.15">
      <c r="C388" s="49"/>
      <c r="D388" s="50"/>
      <c r="E388" s="51"/>
      <c r="F388" s="52"/>
      <c r="G388" s="53"/>
      <c r="H388" s="53"/>
    </row>
    <row r="389" spans="3:8" x14ac:dyDescent="0.15">
      <c r="C389" s="49"/>
      <c r="D389" s="50"/>
      <c r="E389" s="51"/>
      <c r="F389" s="52"/>
      <c r="G389" s="53"/>
      <c r="H389" s="53"/>
    </row>
    <row r="390" spans="3:8" x14ac:dyDescent="0.15">
      <c r="C390" s="49"/>
      <c r="D390" s="50"/>
      <c r="E390" s="51"/>
      <c r="F390" s="52"/>
      <c r="G390" s="53"/>
      <c r="H390" s="53"/>
    </row>
    <row r="391" spans="3:8" x14ac:dyDescent="0.15">
      <c r="C391" s="49"/>
      <c r="D391" s="50"/>
      <c r="E391" s="51"/>
      <c r="F391" s="52"/>
      <c r="G391" s="53"/>
      <c r="H391" s="53"/>
    </row>
    <row r="392" spans="3:8" x14ac:dyDescent="0.15">
      <c r="C392" s="49"/>
      <c r="D392" s="50"/>
      <c r="E392" s="51"/>
      <c r="F392" s="52"/>
      <c r="G392" s="53"/>
      <c r="H392" s="53"/>
    </row>
    <row r="393" spans="3:8" x14ac:dyDescent="0.15">
      <c r="C393" s="49"/>
      <c r="D393" s="50"/>
      <c r="E393" s="51"/>
      <c r="F393" s="52"/>
      <c r="G393" s="53"/>
      <c r="H393" s="53"/>
    </row>
    <row r="394" spans="3:8" x14ac:dyDescent="0.15">
      <c r="C394" s="49"/>
      <c r="D394" s="50"/>
      <c r="E394" s="51"/>
      <c r="F394" s="52"/>
      <c r="G394" s="53"/>
      <c r="H394" s="53"/>
    </row>
    <row r="395" spans="3:8" x14ac:dyDescent="0.15">
      <c r="C395" s="49"/>
      <c r="D395" s="50"/>
      <c r="E395" s="51"/>
      <c r="F395" s="52"/>
      <c r="G395" s="53"/>
      <c r="H395" s="53"/>
    </row>
    <row r="396" spans="3:8" x14ac:dyDescent="0.15">
      <c r="C396" s="49"/>
      <c r="D396" s="50"/>
      <c r="E396" s="51"/>
      <c r="F396" s="52"/>
      <c r="G396" s="53"/>
      <c r="H396" s="53"/>
    </row>
    <row r="397" spans="3:8" x14ac:dyDescent="0.15">
      <c r="C397" s="49"/>
      <c r="D397" s="50"/>
      <c r="E397" s="51"/>
      <c r="F397" s="52"/>
      <c r="G397" s="53"/>
      <c r="H397" s="53"/>
    </row>
    <row r="398" spans="3:8" x14ac:dyDescent="0.15">
      <c r="C398" s="49"/>
      <c r="D398" s="50"/>
      <c r="E398" s="51"/>
      <c r="F398" s="52"/>
      <c r="G398" s="53"/>
      <c r="H398" s="53"/>
    </row>
    <row r="399" spans="3:8" x14ac:dyDescent="0.15">
      <c r="C399" s="49"/>
      <c r="D399" s="50"/>
      <c r="E399" s="51"/>
      <c r="F399" s="52"/>
      <c r="G399" s="53"/>
      <c r="H399" s="53"/>
    </row>
    <row r="400" spans="3:8" x14ac:dyDescent="0.15">
      <c r="C400" s="49"/>
      <c r="D400" s="50"/>
      <c r="E400" s="51"/>
      <c r="F400" s="52"/>
      <c r="G400" s="53"/>
      <c r="H400" s="53"/>
    </row>
    <row r="401" spans="3:8" x14ac:dyDescent="0.15">
      <c r="C401" s="49"/>
      <c r="D401" s="50"/>
      <c r="E401" s="51"/>
      <c r="F401" s="52"/>
      <c r="G401" s="53"/>
      <c r="H401" s="53"/>
    </row>
    <row r="402" spans="3:8" x14ac:dyDescent="0.15">
      <c r="C402" s="49"/>
      <c r="D402" s="50"/>
      <c r="E402" s="51"/>
      <c r="F402" s="52"/>
      <c r="G402" s="53"/>
      <c r="H402" s="53"/>
    </row>
    <row r="403" spans="3:8" x14ac:dyDescent="0.15">
      <c r="C403" s="49"/>
      <c r="D403" s="50"/>
      <c r="E403" s="51"/>
      <c r="F403" s="52"/>
      <c r="G403" s="53"/>
      <c r="H403" s="53"/>
    </row>
    <row r="404" spans="3:8" x14ac:dyDescent="0.15">
      <c r="C404" s="49"/>
      <c r="D404" s="50"/>
      <c r="E404" s="51"/>
      <c r="F404" s="52"/>
      <c r="G404" s="53"/>
      <c r="H404" s="53"/>
    </row>
    <row r="405" spans="3:8" x14ac:dyDescent="0.15">
      <c r="C405" s="49"/>
      <c r="D405" s="50"/>
      <c r="E405" s="51"/>
      <c r="F405" s="52"/>
      <c r="G405" s="53"/>
      <c r="H405" s="53"/>
    </row>
    <row r="406" spans="3:8" x14ac:dyDescent="0.15">
      <c r="C406" s="49"/>
      <c r="D406" s="50"/>
      <c r="E406" s="51"/>
      <c r="F406" s="52"/>
      <c r="G406" s="53"/>
      <c r="H406" s="53"/>
    </row>
    <row r="407" spans="3:8" x14ac:dyDescent="0.15">
      <c r="C407" s="49"/>
      <c r="D407" s="50"/>
      <c r="E407" s="51"/>
      <c r="F407" s="52"/>
      <c r="G407" s="53"/>
      <c r="H407" s="53"/>
    </row>
    <row r="408" spans="3:8" x14ac:dyDescent="0.15">
      <c r="C408" s="49"/>
      <c r="D408" s="50"/>
      <c r="E408" s="51"/>
      <c r="F408" s="52"/>
      <c r="G408" s="53"/>
      <c r="H408" s="53"/>
    </row>
    <row r="409" spans="3:8" x14ac:dyDescent="0.15">
      <c r="C409" s="49"/>
      <c r="D409" s="50"/>
      <c r="E409" s="51"/>
      <c r="F409" s="52"/>
      <c r="G409" s="53"/>
      <c r="H409" s="53"/>
    </row>
    <row r="410" spans="3:8" x14ac:dyDescent="0.15">
      <c r="C410" s="49"/>
      <c r="D410" s="50"/>
      <c r="E410" s="51"/>
      <c r="F410" s="52"/>
      <c r="G410" s="53"/>
      <c r="H410" s="53"/>
    </row>
    <row r="411" spans="3:8" x14ac:dyDescent="0.15">
      <c r="C411" s="49"/>
      <c r="D411" s="50"/>
      <c r="E411" s="51"/>
      <c r="F411" s="52"/>
      <c r="G411" s="53"/>
      <c r="H411" s="53"/>
    </row>
    <row r="412" spans="3:8" x14ac:dyDescent="0.15">
      <c r="C412" s="49"/>
      <c r="D412" s="50"/>
      <c r="E412" s="51"/>
      <c r="F412" s="52"/>
      <c r="G412" s="53"/>
      <c r="H412" s="53"/>
    </row>
    <row r="413" spans="3:8" x14ac:dyDescent="0.15">
      <c r="C413" s="49"/>
      <c r="D413" s="50"/>
      <c r="E413" s="51"/>
      <c r="F413" s="52"/>
      <c r="G413" s="53"/>
      <c r="H413" s="53"/>
    </row>
    <row r="414" spans="3:8" x14ac:dyDescent="0.15">
      <c r="C414" s="49"/>
      <c r="D414" s="50"/>
      <c r="E414" s="51"/>
      <c r="F414" s="52"/>
      <c r="G414" s="53"/>
      <c r="H414" s="53"/>
    </row>
    <row r="415" spans="3:8" x14ac:dyDescent="0.15">
      <c r="C415" s="49"/>
      <c r="D415" s="50"/>
      <c r="E415" s="51"/>
      <c r="F415" s="52"/>
      <c r="G415" s="53"/>
      <c r="H415" s="53"/>
    </row>
    <row r="416" spans="3:8" x14ac:dyDescent="0.15">
      <c r="C416" s="49"/>
      <c r="D416" s="50"/>
      <c r="E416" s="51"/>
      <c r="F416" s="52"/>
      <c r="G416" s="53"/>
      <c r="H416" s="53"/>
    </row>
    <row r="417" spans="3:8" x14ac:dyDescent="0.15">
      <c r="C417" s="49"/>
      <c r="D417" s="50"/>
      <c r="E417" s="51"/>
      <c r="F417" s="52"/>
      <c r="G417" s="53"/>
      <c r="H417" s="53"/>
    </row>
    <row r="418" spans="3:8" x14ac:dyDescent="0.15">
      <c r="C418" s="49"/>
      <c r="D418" s="50"/>
      <c r="E418" s="51"/>
      <c r="F418" s="52"/>
      <c r="G418" s="53"/>
      <c r="H418" s="53"/>
    </row>
    <row r="419" spans="3:8" x14ac:dyDescent="0.15">
      <c r="C419" s="49"/>
      <c r="D419" s="50"/>
      <c r="E419" s="51"/>
      <c r="F419" s="52"/>
      <c r="G419" s="53"/>
      <c r="H419" s="53"/>
    </row>
    <row r="420" spans="3:8" x14ac:dyDescent="0.15">
      <c r="C420" s="49"/>
      <c r="D420" s="50"/>
      <c r="E420" s="51"/>
      <c r="F420" s="52"/>
      <c r="G420" s="53"/>
      <c r="H420" s="53"/>
    </row>
    <row r="421" spans="3:8" x14ac:dyDescent="0.15">
      <c r="C421" s="49"/>
      <c r="D421" s="50"/>
      <c r="E421" s="51"/>
      <c r="F421" s="52"/>
      <c r="G421" s="53"/>
      <c r="H421" s="53"/>
    </row>
    <row r="422" spans="3:8" x14ac:dyDescent="0.15">
      <c r="C422" s="49"/>
      <c r="D422" s="50"/>
      <c r="E422" s="51"/>
      <c r="F422" s="52"/>
      <c r="G422" s="53"/>
      <c r="H422" s="53"/>
    </row>
    <row r="423" spans="3:8" x14ac:dyDescent="0.15">
      <c r="C423" s="49"/>
      <c r="D423" s="50"/>
      <c r="E423" s="51"/>
      <c r="F423" s="52"/>
      <c r="G423" s="53"/>
      <c r="H423" s="53"/>
    </row>
    <row r="424" spans="3:8" x14ac:dyDescent="0.15">
      <c r="C424" s="49"/>
      <c r="D424" s="50"/>
      <c r="E424" s="51"/>
      <c r="F424" s="52"/>
      <c r="G424" s="53"/>
      <c r="H424" s="53"/>
    </row>
    <row r="425" spans="3:8" x14ac:dyDescent="0.15">
      <c r="C425" s="49"/>
      <c r="D425" s="50"/>
      <c r="E425" s="51"/>
      <c r="F425" s="52"/>
      <c r="G425" s="53"/>
      <c r="H425" s="53"/>
    </row>
    <row r="426" spans="3:8" x14ac:dyDescent="0.15">
      <c r="C426" s="49"/>
      <c r="D426" s="50"/>
      <c r="E426" s="51"/>
      <c r="F426" s="52"/>
      <c r="G426" s="53"/>
      <c r="H426" s="53"/>
    </row>
    <row r="427" spans="3:8" x14ac:dyDescent="0.15">
      <c r="C427" s="49"/>
      <c r="D427" s="50"/>
      <c r="E427" s="51"/>
      <c r="F427" s="52"/>
      <c r="G427" s="53"/>
      <c r="H427" s="53"/>
    </row>
    <row r="428" spans="3:8" x14ac:dyDescent="0.15">
      <c r="C428" s="49"/>
      <c r="D428" s="50"/>
      <c r="E428" s="51"/>
      <c r="F428" s="52"/>
      <c r="G428" s="53"/>
      <c r="H428" s="53"/>
    </row>
    <row r="429" spans="3:8" x14ac:dyDescent="0.15">
      <c r="C429" s="49"/>
      <c r="D429" s="50"/>
      <c r="E429" s="51"/>
      <c r="F429" s="52"/>
      <c r="G429" s="53"/>
      <c r="H429" s="53"/>
    </row>
    <row r="430" spans="3:8" x14ac:dyDescent="0.15">
      <c r="C430" s="49"/>
      <c r="D430" s="50"/>
      <c r="E430" s="51"/>
      <c r="F430" s="52"/>
      <c r="G430" s="53"/>
      <c r="H430" s="53"/>
    </row>
    <row r="431" spans="3:8" x14ac:dyDescent="0.15">
      <c r="C431" s="49"/>
      <c r="D431" s="50"/>
      <c r="E431" s="51"/>
      <c r="F431" s="52"/>
      <c r="G431" s="53"/>
      <c r="H431" s="53"/>
    </row>
    <row r="432" spans="3:8" x14ac:dyDescent="0.15">
      <c r="C432" s="49"/>
      <c r="D432" s="50"/>
      <c r="E432" s="51"/>
      <c r="F432" s="52"/>
      <c r="G432" s="53"/>
      <c r="H432" s="53"/>
    </row>
    <row r="433" spans="3:8" x14ac:dyDescent="0.15">
      <c r="C433" s="49"/>
      <c r="D433" s="50"/>
      <c r="E433" s="51"/>
      <c r="F433" s="52"/>
      <c r="G433" s="53"/>
      <c r="H433" s="53"/>
    </row>
    <row r="434" spans="3:8" x14ac:dyDescent="0.15">
      <c r="C434" s="49"/>
      <c r="D434" s="50"/>
      <c r="E434" s="51"/>
      <c r="F434" s="52"/>
      <c r="G434" s="53"/>
      <c r="H434" s="53"/>
    </row>
    <row r="435" spans="3:8" x14ac:dyDescent="0.15">
      <c r="C435" s="49"/>
      <c r="D435" s="50"/>
      <c r="E435" s="51"/>
      <c r="F435" s="52"/>
      <c r="G435" s="53"/>
      <c r="H435" s="53"/>
    </row>
    <row r="436" spans="3:8" x14ac:dyDescent="0.15">
      <c r="C436" s="49"/>
      <c r="D436" s="50"/>
      <c r="E436" s="51"/>
      <c r="F436" s="52"/>
      <c r="G436" s="53"/>
      <c r="H436" s="53"/>
    </row>
    <row r="437" spans="3:8" x14ac:dyDescent="0.15">
      <c r="C437" s="49"/>
      <c r="D437" s="50"/>
      <c r="E437" s="51"/>
      <c r="F437" s="52"/>
      <c r="G437" s="53"/>
      <c r="H437" s="53"/>
    </row>
    <row r="438" spans="3:8" x14ac:dyDescent="0.15">
      <c r="C438" s="49"/>
      <c r="D438" s="50"/>
      <c r="E438" s="51"/>
      <c r="F438" s="52"/>
      <c r="G438" s="53"/>
      <c r="H438" s="53"/>
    </row>
    <row r="439" spans="3:8" x14ac:dyDescent="0.15">
      <c r="C439" s="49"/>
      <c r="D439" s="50"/>
      <c r="E439" s="51"/>
      <c r="F439" s="52"/>
      <c r="G439" s="53"/>
      <c r="H439" s="53"/>
    </row>
    <row r="440" spans="3:8" x14ac:dyDescent="0.15">
      <c r="C440" s="49"/>
      <c r="D440" s="50"/>
      <c r="E440" s="51"/>
      <c r="F440" s="52"/>
      <c r="G440" s="53"/>
      <c r="H440" s="53"/>
    </row>
    <row r="441" spans="3:8" x14ac:dyDescent="0.15">
      <c r="C441" s="49"/>
      <c r="D441" s="50"/>
      <c r="E441" s="51"/>
      <c r="F441" s="52"/>
      <c r="G441" s="53"/>
      <c r="H441" s="53"/>
    </row>
    <row r="442" spans="3:8" x14ac:dyDescent="0.15">
      <c r="C442" s="49"/>
      <c r="D442" s="50"/>
      <c r="E442" s="51"/>
      <c r="F442" s="52"/>
      <c r="G442" s="53"/>
      <c r="H442" s="53"/>
    </row>
    <row r="443" spans="3:8" x14ac:dyDescent="0.15">
      <c r="C443" s="49"/>
      <c r="D443" s="50"/>
      <c r="E443" s="51"/>
      <c r="F443" s="52"/>
      <c r="G443" s="53"/>
      <c r="H443" s="53"/>
    </row>
    <row r="444" spans="3:8" x14ac:dyDescent="0.15">
      <c r="C444" s="49"/>
      <c r="D444" s="50"/>
      <c r="E444" s="51"/>
      <c r="F444" s="52"/>
      <c r="G444" s="53"/>
      <c r="H444" s="53"/>
    </row>
    <row r="445" spans="3:8" x14ac:dyDescent="0.15">
      <c r="C445" s="49"/>
      <c r="D445" s="50"/>
      <c r="E445" s="51"/>
      <c r="F445" s="52"/>
      <c r="G445" s="53"/>
      <c r="H445" s="53"/>
    </row>
    <row r="446" spans="3:8" x14ac:dyDescent="0.15">
      <c r="C446" s="49"/>
      <c r="D446" s="50"/>
      <c r="E446" s="51"/>
      <c r="F446" s="52"/>
      <c r="G446" s="53"/>
      <c r="H446" s="53"/>
    </row>
    <row r="447" spans="3:8" x14ac:dyDescent="0.15">
      <c r="C447" s="49"/>
      <c r="D447" s="50"/>
      <c r="E447" s="51"/>
      <c r="F447" s="52"/>
      <c r="G447" s="53"/>
      <c r="H447" s="53"/>
    </row>
    <row r="448" spans="3:8" x14ac:dyDescent="0.15">
      <c r="C448" s="49"/>
      <c r="D448" s="50"/>
      <c r="E448" s="51"/>
      <c r="F448" s="52"/>
      <c r="G448" s="53"/>
      <c r="H448" s="53"/>
    </row>
    <row r="449" spans="3:8" x14ac:dyDescent="0.15">
      <c r="C449" s="49"/>
      <c r="D449" s="50"/>
      <c r="E449" s="51"/>
      <c r="F449" s="52"/>
      <c r="G449" s="53"/>
      <c r="H449" s="53"/>
    </row>
    <row r="450" spans="3:8" x14ac:dyDescent="0.15">
      <c r="C450" s="49"/>
      <c r="D450" s="50"/>
      <c r="E450" s="51"/>
      <c r="F450" s="52"/>
      <c r="G450" s="53"/>
      <c r="H450" s="53"/>
    </row>
    <row r="451" spans="3:8" x14ac:dyDescent="0.15">
      <c r="C451" s="49"/>
      <c r="D451" s="50"/>
      <c r="E451" s="51"/>
      <c r="F451" s="52"/>
      <c r="G451" s="53"/>
      <c r="H451" s="53"/>
    </row>
    <row r="452" spans="3:8" x14ac:dyDescent="0.15">
      <c r="C452" s="49"/>
      <c r="D452" s="50"/>
      <c r="E452" s="51"/>
      <c r="F452" s="52"/>
      <c r="G452" s="53"/>
      <c r="H452" s="53"/>
    </row>
    <row r="453" spans="3:8" x14ac:dyDescent="0.15">
      <c r="C453" s="49"/>
      <c r="D453" s="50"/>
      <c r="E453" s="51"/>
      <c r="F453" s="52"/>
      <c r="G453" s="53"/>
      <c r="H453" s="53"/>
    </row>
    <row r="454" spans="3:8" x14ac:dyDescent="0.15">
      <c r="C454" s="49"/>
      <c r="D454" s="50"/>
      <c r="E454" s="51"/>
      <c r="F454" s="52"/>
      <c r="G454" s="53"/>
      <c r="H454" s="53"/>
    </row>
    <row r="455" spans="3:8" x14ac:dyDescent="0.15">
      <c r="C455" s="49"/>
      <c r="D455" s="50"/>
      <c r="E455" s="51"/>
      <c r="F455" s="52"/>
      <c r="G455" s="53"/>
      <c r="H455" s="53"/>
    </row>
    <row r="456" spans="3:8" x14ac:dyDescent="0.15">
      <c r="C456" s="49"/>
      <c r="D456" s="50"/>
      <c r="E456" s="51"/>
      <c r="F456" s="52"/>
      <c r="G456" s="53"/>
      <c r="H456" s="53"/>
    </row>
    <row r="457" spans="3:8" x14ac:dyDescent="0.15">
      <c r="C457" s="49"/>
      <c r="D457" s="50"/>
      <c r="E457" s="51"/>
      <c r="F457" s="52"/>
      <c r="G457" s="53"/>
      <c r="H457" s="53"/>
    </row>
    <row r="458" spans="3:8" x14ac:dyDescent="0.15">
      <c r="C458" s="49"/>
      <c r="D458" s="50"/>
      <c r="E458" s="51"/>
      <c r="F458" s="52"/>
      <c r="G458" s="53"/>
      <c r="H458" s="53"/>
    </row>
    <row r="459" spans="3:8" x14ac:dyDescent="0.15">
      <c r="C459" s="49"/>
      <c r="D459" s="50"/>
      <c r="E459" s="51"/>
      <c r="F459" s="52"/>
      <c r="G459" s="53"/>
      <c r="H459" s="53"/>
    </row>
    <row r="460" spans="3:8" x14ac:dyDescent="0.15">
      <c r="C460" s="49"/>
      <c r="D460" s="50"/>
      <c r="E460" s="51"/>
      <c r="F460" s="52"/>
      <c r="G460" s="53"/>
      <c r="H460" s="53"/>
    </row>
    <row r="461" spans="3:8" x14ac:dyDescent="0.15">
      <c r="C461" s="49"/>
      <c r="D461" s="50"/>
      <c r="E461" s="51"/>
      <c r="F461" s="52"/>
      <c r="G461" s="53"/>
      <c r="H461" s="53"/>
    </row>
    <row r="462" spans="3:8" x14ac:dyDescent="0.15">
      <c r="C462" s="49"/>
      <c r="D462" s="50"/>
      <c r="E462" s="51"/>
      <c r="F462" s="52"/>
      <c r="G462" s="53"/>
      <c r="H462" s="53"/>
    </row>
    <row r="463" spans="3:8" x14ac:dyDescent="0.15">
      <c r="C463" s="49"/>
      <c r="D463" s="50"/>
      <c r="E463" s="51"/>
      <c r="F463" s="52"/>
      <c r="G463" s="53"/>
      <c r="H463" s="53"/>
    </row>
    <row r="464" spans="3:8" x14ac:dyDescent="0.15">
      <c r="C464" s="49"/>
      <c r="D464" s="50"/>
      <c r="E464" s="51"/>
      <c r="F464" s="52"/>
      <c r="G464" s="53"/>
      <c r="H464" s="53"/>
    </row>
    <row r="465" spans="3:8" x14ac:dyDescent="0.15">
      <c r="C465" s="49"/>
      <c r="D465" s="50"/>
      <c r="E465" s="51"/>
      <c r="F465" s="52"/>
      <c r="G465" s="53"/>
      <c r="H465" s="53"/>
    </row>
    <row r="466" spans="3:8" x14ac:dyDescent="0.15">
      <c r="C466" s="49"/>
      <c r="D466" s="50"/>
      <c r="E466" s="51"/>
      <c r="F466" s="52"/>
      <c r="G466" s="53"/>
      <c r="H466" s="53"/>
    </row>
    <row r="467" spans="3:8" x14ac:dyDescent="0.15">
      <c r="C467" s="49"/>
      <c r="D467" s="50"/>
      <c r="E467" s="51"/>
      <c r="F467" s="52"/>
      <c r="G467" s="53"/>
      <c r="H467" s="53"/>
    </row>
    <row r="468" spans="3:8" x14ac:dyDescent="0.15">
      <c r="C468" s="49"/>
      <c r="D468" s="50"/>
      <c r="E468" s="51"/>
      <c r="F468" s="52"/>
      <c r="G468" s="53"/>
      <c r="H468" s="53"/>
    </row>
    <row r="469" spans="3:8" x14ac:dyDescent="0.15">
      <c r="C469" s="49"/>
      <c r="D469" s="50"/>
      <c r="E469" s="51"/>
      <c r="F469" s="52"/>
      <c r="G469" s="53"/>
      <c r="H469" s="53"/>
    </row>
    <row r="470" spans="3:8" x14ac:dyDescent="0.15">
      <c r="C470" s="49"/>
      <c r="D470" s="50"/>
      <c r="E470" s="51"/>
      <c r="F470" s="52"/>
      <c r="G470" s="53"/>
      <c r="H470" s="53"/>
    </row>
    <row r="471" spans="3:8" x14ac:dyDescent="0.15">
      <c r="C471" s="49"/>
      <c r="D471" s="50"/>
      <c r="E471" s="51"/>
      <c r="F471" s="52"/>
      <c r="G471" s="53"/>
      <c r="H471" s="53"/>
    </row>
    <row r="472" spans="3:8" x14ac:dyDescent="0.15">
      <c r="C472" s="49"/>
      <c r="D472" s="50"/>
      <c r="E472" s="51"/>
      <c r="F472" s="52"/>
      <c r="G472" s="53"/>
      <c r="H472" s="53"/>
    </row>
    <row r="473" spans="3:8" x14ac:dyDescent="0.15">
      <c r="C473" s="49"/>
      <c r="D473" s="50"/>
      <c r="E473" s="51"/>
      <c r="F473" s="52"/>
      <c r="G473" s="53"/>
      <c r="H473" s="53"/>
    </row>
    <row r="474" spans="3:8" x14ac:dyDescent="0.15">
      <c r="C474" s="49"/>
      <c r="D474" s="50"/>
      <c r="E474" s="51"/>
      <c r="F474" s="52"/>
      <c r="G474" s="53"/>
      <c r="H474" s="53"/>
    </row>
    <row r="475" spans="3:8" x14ac:dyDescent="0.15">
      <c r="C475" s="49"/>
      <c r="D475" s="50"/>
      <c r="E475" s="51"/>
      <c r="F475" s="52"/>
      <c r="G475" s="53"/>
      <c r="H475" s="53"/>
    </row>
    <row r="476" spans="3:8" x14ac:dyDescent="0.15">
      <c r="C476" s="49"/>
      <c r="D476" s="50"/>
      <c r="E476" s="51"/>
      <c r="F476" s="52"/>
      <c r="G476" s="53"/>
      <c r="H476" s="53"/>
    </row>
    <row r="477" spans="3:8" x14ac:dyDescent="0.15">
      <c r="C477" s="49"/>
      <c r="D477" s="50"/>
      <c r="E477" s="51"/>
      <c r="F477" s="52"/>
      <c r="G477" s="53"/>
      <c r="H477" s="53"/>
    </row>
    <row r="478" spans="3:8" x14ac:dyDescent="0.15">
      <c r="C478" s="49"/>
      <c r="D478" s="50"/>
      <c r="E478" s="51"/>
      <c r="F478" s="52"/>
      <c r="G478" s="53"/>
      <c r="H478" s="53"/>
    </row>
    <row r="479" spans="3:8" x14ac:dyDescent="0.15">
      <c r="C479" s="49"/>
      <c r="D479" s="50"/>
      <c r="E479" s="51"/>
      <c r="F479" s="52"/>
      <c r="G479" s="53"/>
      <c r="H479" s="53"/>
    </row>
    <row r="480" spans="3:8" x14ac:dyDescent="0.15">
      <c r="C480" s="49"/>
      <c r="D480" s="50"/>
      <c r="E480" s="51"/>
      <c r="F480" s="52"/>
      <c r="G480" s="53"/>
      <c r="H480" s="53"/>
    </row>
    <row r="481" spans="3:8" x14ac:dyDescent="0.15">
      <c r="C481" s="49"/>
      <c r="D481" s="50"/>
      <c r="E481" s="51"/>
      <c r="F481" s="52"/>
      <c r="G481" s="53"/>
      <c r="H481" s="53"/>
    </row>
    <row r="482" spans="3:8" x14ac:dyDescent="0.15">
      <c r="C482" s="49"/>
      <c r="D482" s="50"/>
      <c r="E482" s="51"/>
      <c r="F482" s="52"/>
      <c r="G482" s="53"/>
      <c r="H482" s="53"/>
    </row>
    <row r="483" spans="3:8" x14ac:dyDescent="0.15">
      <c r="C483" s="49"/>
      <c r="D483" s="50"/>
      <c r="E483" s="51"/>
      <c r="F483" s="52"/>
      <c r="G483" s="53"/>
      <c r="H483" s="53"/>
    </row>
    <row r="484" spans="3:8" x14ac:dyDescent="0.15">
      <c r="C484" s="49"/>
      <c r="D484" s="50"/>
      <c r="E484" s="51"/>
      <c r="F484" s="52"/>
      <c r="G484" s="53"/>
      <c r="H484" s="53"/>
    </row>
    <row r="485" spans="3:8" x14ac:dyDescent="0.15">
      <c r="C485" s="49"/>
      <c r="D485" s="50"/>
      <c r="E485" s="51"/>
      <c r="F485" s="52"/>
      <c r="G485" s="53"/>
      <c r="H485" s="53"/>
    </row>
    <row r="486" spans="3:8" x14ac:dyDescent="0.15">
      <c r="C486" s="49"/>
      <c r="D486" s="50"/>
      <c r="E486" s="51"/>
      <c r="F486" s="52"/>
      <c r="G486" s="53"/>
      <c r="H486" s="53"/>
    </row>
    <row r="487" spans="3:8" x14ac:dyDescent="0.15">
      <c r="C487" s="49"/>
      <c r="D487" s="50"/>
      <c r="E487" s="51"/>
      <c r="F487" s="52"/>
      <c r="G487" s="53"/>
      <c r="H487" s="53"/>
    </row>
    <row r="488" spans="3:8" x14ac:dyDescent="0.15">
      <c r="C488" s="49"/>
      <c r="D488" s="50"/>
      <c r="E488" s="51"/>
      <c r="F488" s="52"/>
      <c r="G488" s="53"/>
      <c r="H488" s="53"/>
    </row>
    <row r="489" spans="3:8" x14ac:dyDescent="0.15">
      <c r="C489" s="49"/>
      <c r="D489" s="50"/>
      <c r="E489" s="51"/>
      <c r="F489" s="52"/>
      <c r="G489" s="53"/>
      <c r="H489" s="53"/>
    </row>
    <row r="490" spans="3:8" x14ac:dyDescent="0.15">
      <c r="C490" s="49"/>
      <c r="D490" s="50"/>
      <c r="E490" s="51"/>
      <c r="F490" s="52"/>
      <c r="G490" s="53"/>
      <c r="H490" s="53"/>
    </row>
    <row r="491" spans="3:8" x14ac:dyDescent="0.15">
      <c r="C491" s="49"/>
      <c r="D491" s="50"/>
      <c r="E491" s="51"/>
      <c r="F491" s="52"/>
      <c r="G491" s="53"/>
      <c r="H491" s="53"/>
    </row>
    <row r="492" spans="3:8" x14ac:dyDescent="0.15">
      <c r="C492" s="49"/>
      <c r="D492" s="50"/>
      <c r="E492" s="51"/>
      <c r="F492" s="52"/>
      <c r="G492" s="53"/>
      <c r="H492" s="53"/>
    </row>
    <row r="493" spans="3:8" x14ac:dyDescent="0.15">
      <c r="C493" s="49"/>
      <c r="D493" s="50"/>
      <c r="E493" s="51"/>
      <c r="F493" s="52"/>
      <c r="G493" s="53"/>
      <c r="H493" s="53"/>
    </row>
    <row r="494" spans="3:8" x14ac:dyDescent="0.15">
      <c r="C494" s="49"/>
      <c r="D494" s="50"/>
      <c r="E494" s="51"/>
      <c r="F494" s="52"/>
      <c r="G494" s="53"/>
      <c r="H494" s="53"/>
    </row>
    <row r="495" spans="3:8" x14ac:dyDescent="0.15">
      <c r="C495" s="49"/>
      <c r="D495" s="50"/>
      <c r="E495" s="51"/>
      <c r="F495" s="52"/>
      <c r="G495" s="53"/>
      <c r="H495" s="53"/>
    </row>
    <row r="496" spans="3:8" x14ac:dyDescent="0.15">
      <c r="C496" s="49"/>
      <c r="D496" s="50"/>
      <c r="E496" s="51"/>
      <c r="F496" s="52"/>
      <c r="G496" s="53"/>
      <c r="H496" s="53"/>
    </row>
    <row r="497" spans="3:8" x14ac:dyDescent="0.15">
      <c r="C497" s="49"/>
      <c r="D497" s="50"/>
      <c r="E497" s="51"/>
      <c r="F497" s="52"/>
      <c r="G497" s="53"/>
      <c r="H497" s="53"/>
    </row>
    <row r="498" spans="3:8" x14ac:dyDescent="0.15">
      <c r="C498" s="49"/>
      <c r="D498" s="50"/>
      <c r="E498" s="51"/>
      <c r="F498" s="52"/>
      <c r="G498" s="53"/>
      <c r="H498" s="53"/>
    </row>
    <row r="499" spans="3:8" x14ac:dyDescent="0.15">
      <c r="C499" s="49"/>
      <c r="D499" s="50"/>
      <c r="E499" s="51"/>
      <c r="F499" s="52"/>
      <c r="G499" s="53"/>
      <c r="H499" s="53"/>
    </row>
    <row r="500" spans="3:8" x14ac:dyDescent="0.15">
      <c r="C500" s="49"/>
      <c r="D500" s="50"/>
      <c r="E500" s="51"/>
      <c r="F500" s="52"/>
      <c r="G500" s="53"/>
      <c r="H500" s="53"/>
    </row>
    <row r="501" spans="3:8" x14ac:dyDescent="0.15">
      <c r="C501" s="49"/>
      <c r="D501" s="50"/>
      <c r="E501" s="51"/>
      <c r="F501" s="52"/>
      <c r="G501" s="53"/>
      <c r="H501" s="53"/>
    </row>
    <row r="502" spans="3:8" x14ac:dyDescent="0.15">
      <c r="C502" s="49"/>
      <c r="D502" s="50"/>
      <c r="E502" s="51"/>
      <c r="F502" s="52"/>
      <c r="G502" s="53"/>
      <c r="H502" s="53"/>
    </row>
    <row r="503" spans="3:8" x14ac:dyDescent="0.15">
      <c r="C503" s="49"/>
      <c r="D503" s="50"/>
      <c r="E503" s="51"/>
      <c r="F503" s="52"/>
      <c r="G503" s="53"/>
      <c r="H503" s="53"/>
    </row>
    <row r="504" spans="3:8" x14ac:dyDescent="0.15">
      <c r="C504" s="49"/>
      <c r="D504" s="50"/>
      <c r="E504" s="51"/>
      <c r="F504" s="52"/>
      <c r="G504" s="53"/>
      <c r="H504" s="53"/>
    </row>
    <row r="505" spans="3:8" x14ac:dyDescent="0.15">
      <c r="C505" s="49"/>
      <c r="D505" s="50"/>
      <c r="E505" s="51"/>
      <c r="F505" s="52"/>
      <c r="G505" s="53"/>
      <c r="H505" s="53"/>
    </row>
    <row r="506" spans="3:8" x14ac:dyDescent="0.15">
      <c r="C506" s="49"/>
      <c r="D506" s="50"/>
      <c r="E506" s="51"/>
      <c r="F506" s="52"/>
      <c r="G506" s="53"/>
      <c r="H506" s="53"/>
    </row>
    <row r="507" spans="3:8" x14ac:dyDescent="0.15">
      <c r="C507" s="49"/>
      <c r="D507" s="50"/>
      <c r="E507" s="51"/>
      <c r="F507" s="52"/>
      <c r="G507" s="53"/>
      <c r="H507" s="53"/>
    </row>
    <row r="508" spans="3:8" x14ac:dyDescent="0.15">
      <c r="C508" s="49"/>
      <c r="D508" s="50"/>
      <c r="E508" s="51"/>
      <c r="F508" s="52"/>
      <c r="G508" s="53"/>
      <c r="H508" s="53"/>
    </row>
    <row r="509" spans="3:8" x14ac:dyDescent="0.15">
      <c r="C509" s="49"/>
      <c r="D509" s="50"/>
      <c r="E509" s="51"/>
      <c r="F509" s="52"/>
      <c r="G509" s="53"/>
      <c r="H509" s="53"/>
    </row>
    <row r="510" spans="3:8" x14ac:dyDescent="0.15">
      <c r="C510" s="49"/>
      <c r="D510" s="50"/>
      <c r="E510" s="51"/>
      <c r="F510" s="52"/>
      <c r="G510" s="53"/>
      <c r="H510" s="53"/>
    </row>
    <row r="511" spans="3:8" x14ac:dyDescent="0.15">
      <c r="C511" s="49"/>
      <c r="D511" s="50"/>
      <c r="E511" s="51"/>
      <c r="F511" s="52"/>
      <c r="G511" s="53"/>
      <c r="H511" s="53"/>
    </row>
    <row r="512" spans="3:8" x14ac:dyDescent="0.15">
      <c r="C512" s="49"/>
      <c r="D512" s="50"/>
      <c r="E512" s="51"/>
      <c r="F512" s="52"/>
      <c r="G512" s="53"/>
      <c r="H512" s="53"/>
    </row>
    <row r="513" spans="3:8" x14ac:dyDescent="0.15">
      <c r="C513" s="49"/>
      <c r="D513" s="50"/>
      <c r="E513" s="51"/>
      <c r="F513" s="52"/>
      <c r="G513" s="53"/>
      <c r="H513" s="53"/>
    </row>
    <row r="514" spans="3:8" x14ac:dyDescent="0.15">
      <c r="C514" s="49"/>
      <c r="D514" s="50"/>
      <c r="E514" s="51"/>
      <c r="F514" s="52"/>
      <c r="G514" s="53"/>
      <c r="H514" s="53"/>
    </row>
    <row r="515" spans="3:8" x14ac:dyDescent="0.15">
      <c r="C515" s="49"/>
      <c r="D515" s="50"/>
      <c r="E515" s="51"/>
      <c r="F515" s="52"/>
      <c r="G515" s="53"/>
      <c r="H515" s="53"/>
    </row>
    <row r="516" spans="3:8" x14ac:dyDescent="0.15">
      <c r="C516" s="49"/>
      <c r="D516" s="50"/>
      <c r="E516" s="51"/>
      <c r="F516" s="52"/>
      <c r="G516" s="53"/>
      <c r="H516" s="53"/>
    </row>
    <row r="517" spans="3:8" x14ac:dyDescent="0.15">
      <c r="C517" s="49"/>
      <c r="D517" s="50"/>
      <c r="E517" s="51"/>
      <c r="F517" s="52"/>
      <c r="G517" s="53"/>
      <c r="H517" s="53"/>
    </row>
    <row r="518" spans="3:8" x14ac:dyDescent="0.15">
      <c r="C518" s="49"/>
      <c r="D518" s="50"/>
      <c r="E518" s="51"/>
      <c r="F518" s="52"/>
      <c r="G518" s="53"/>
      <c r="H518" s="53"/>
    </row>
    <row r="519" spans="3:8" x14ac:dyDescent="0.15">
      <c r="C519" s="49"/>
      <c r="D519" s="50"/>
      <c r="E519" s="51"/>
      <c r="F519" s="52"/>
      <c r="G519" s="53"/>
      <c r="H519" s="53"/>
    </row>
    <row r="520" spans="3:8" x14ac:dyDescent="0.15">
      <c r="C520" s="49"/>
      <c r="D520" s="50"/>
      <c r="E520" s="51"/>
      <c r="F520" s="52"/>
      <c r="G520" s="53"/>
      <c r="H520" s="53"/>
    </row>
    <row r="521" spans="3:8" x14ac:dyDescent="0.15">
      <c r="C521" s="49"/>
      <c r="D521" s="50"/>
      <c r="E521" s="51"/>
      <c r="F521" s="52"/>
      <c r="G521" s="53"/>
      <c r="H521" s="53"/>
    </row>
    <row r="522" spans="3:8" x14ac:dyDescent="0.15">
      <c r="C522" s="49"/>
      <c r="D522" s="50"/>
      <c r="E522" s="51"/>
      <c r="F522" s="52"/>
      <c r="G522" s="53"/>
      <c r="H522" s="53"/>
    </row>
    <row r="523" spans="3:8" x14ac:dyDescent="0.15">
      <c r="C523" s="49"/>
      <c r="D523" s="50"/>
      <c r="E523" s="51"/>
      <c r="F523" s="52"/>
      <c r="G523" s="53"/>
      <c r="H523" s="53"/>
    </row>
    <row r="524" spans="3:8" x14ac:dyDescent="0.15">
      <c r="C524" s="49"/>
      <c r="D524" s="50"/>
      <c r="E524" s="51"/>
      <c r="F524" s="52"/>
      <c r="G524" s="53"/>
      <c r="H524" s="53"/>
    </row>
    <row r="525" spans="3:8" x14ac:dyDescent="0.15">
      <c r="C525" s="49"/>
      <c r="D525" s="50"/>
      <c r="E525" s="51"/>
      <c r="F525" s="52"/>
      <c r="G525" s="53"/>
      <c r="H525" s="53"/>
    </row>
    <row r="526" spans="3:8" x14ac:dyDescent="0.15">
      <c r="C526" s="49"/>
      <c r="D526" s="50"/>
      <c r="E526" s="51"/>
      <c r="F526" s="52"/>
      <c r="G526" s="53"/>
      <c r="H526" s="53"/>
    </row>
    <row r="527" spans="3:8" x14ac:dyDescent="0.15">
      <c r="C527" s="49"/>
      <c r="D527" s="50"/>
      <c r="E527" s="51"/>
      <c r="F527" s="52"/>
      <c r="G527" s="53"/>
      <c r="H527" s="53"/>
    </row>
    <row r="528" spans="3:8" x14ac:dyDescent="0.15">
      <c r="C528" s="49"/>
      <c r="D528" s="50"/>
      <c r="E528" s="51"/>
      <c r="F528" s="52"/>
      <c r="G528" s="53"/>
      <c r="H528" s="53"/>
    </row>
    <row r="529" spans="3:8" x14ac:dyDescent="0.15">
      <c r="C529" s="49"/>
      <c r="D529" s="50"/>
      <c r="E529" s="51"/>
      <c r="F529" s="52"/>
      <c r="G529" s="53"/>
      <c r="H529" s="53"/>
    </row>
    <row r="530" spans="3:8" x14ac:dyDescent="0.15">
      <c r="C530" s="49"/>
      <c r="D530" s="50"/>
      <c r="E530" s="51"/>
      <c r="F530" s="52"/>
      <c r="G530" s="53"/>
      <c r="H530" s="53"/>
    </row>
    <row r="531" spans="3:8" x14ac:dyDescent="0.15">
      <c r="C531" s="49"/>
      <c r="D531" s="50"/>
      <c r="E531" s="51"/>
      <c r="F531" s="52"/>
      <c r="G531" s="53"/>
      <c r="H531" s="53"/>
    </row>
    <row r="532" spans="3:8" x14ac:dyDescent="0.15">
      <c r="C532" s="49"/>
      <c r="D532" s="50"/>
      <c r="E532" s="51"/>
      <c r="F532" s="52"/>
      <c r="G532" s="53"/>
      <c r="H532" s="53"/>
    </row>
    <row r="533" spans="3:8" x14ac:dyDescent="0.15">
      <c r="C533" s="49"/>
      <c r="D533" s="50"/>
      <c r="E533" s="51"/>
      <c r="F533" s="52"/>
      <c r="G533" s="53"/>
      <c r="H533" s="53"/>
    </row>
    <row r="534" spans="3:8" x14ac:dyDescent="0.15">
      <c r="C534" s="49"/>
      <c r="D534" s="50"/>
      <c r="E534" s="51"/>
      <c r="F534" s="52"/>
      <c r="G534" s="53"/>
      <c r="H534" s="53"/>
    </row>
    <row r="535" spans="3:8" x14ac:dyDescent="0.15">
      <c r="C535" s="49"/>
      <c r="D535" s="50"/>
      <c r="E535" s="51"/>
      <c r="F535" s="52"/>
      <c r="G535" s="53"/>
      <c r="H535" s="53"/>
    </row>
    <row r="536" spans="3:8" x14ac:dyDescent="0.15">
      <c r="C536" s="49"/>
      <c r="D536" s="50"/>
      <c r="E536" s="51"/>
      <c r="F536" s="52"/>
      <c r="G536" s="53"/>
      <c r="H536" s="53"/>
    </row>
    <row r="537" spans="3:8" x14ac:dyDescent="0.15">
      <c r="C537" s="49"/>
      <c r="D537" s="50"/>
      <c r="E537" s="51"/>
      <c r="F537" s="52"/>
      <c r="G537" s="53"/>
      <c r="H537" s="53"/>
    </row>
    <row r="538" spans="3:8" x14ac:dyDescent="0.15">
      <c r="C538" s="49"/>
      <c r="D538" s="50"/>
      <c r="E538" s="51"/>
      <c r="F538" s="52"/>
      <c r="G538" s="53"/>
      <c r="H538" s="53"/>
    </row>
    <row r="539" spans="3:8" x14ac:dyDescent="0.15">
      <c r="C539" s="49"/>
      <c r="D539" s="50"/>
      <c r="E539" s="51"/>
      <c r="F539" s="52"/>
      <c r="G539" s="53"/>
      <c r="H539" s="53"/>
    </row>
    <row r="540" spans="3:8" x14ac:dyDescent="0.15">
      <c r="C540" s="49"/>
      <c r="D540" s="50"/>
      <c r="E540" s="51"/>
      <c r="F540" s="52"/>
      <c r="G540" s="53"/>
      <c r="H540" s="53"/>
    </row>
    <row r="541" spans="3:8" x14ac:dyDescent="0.15">
      <c r="C541" s="49"/>
      <c r="D541" s="50"/>
      <c r="E541" s="51"/>
      <c r="F541" s="52"/>
      <c r="G541" s="53"/>
      <c r="H541" s="53"/>
    </row>
    <row r="542" spans="3:8" x14ac:dyDescent="0.15">
      <c r="C542" s="49"/>
      <c r="D542" s="50"/>
      <c r="E542" s="51"/>
      <c r="F542" s="52"/>
      <c r="G542" s="53"/>
      <c r="H542" s="53"/>
    </row>
    <row r="543" spans="3:8" x14ac:dyDescent="0.15">
      <c r="C543" s="49"/>
      <c r="D543" s="50"/>
      <c r="E543" s="51"/>
      <c r="F543" s="52"/>
      <c r="G543" s="53"/>
      <c r="H543" s="53"/>
    </row>
    <row r="544" spans="3:8" x14ac:dyDescent="0.15">
      <c r="C544" s="49"/>
      <c r="D544" s="50"/>
      <c r="E544" s="51"/>
      <c r="F544" s="52"/>
      <c r="G544" s="53"/>
      <c r="H544" s="53"/>
    </row>
    <row r="545" spans="3:8" x14ac:dyDescent="0.15">
      <c r="C545" s="49"/>
      <c r="D545" s="50"/>
      <c r="E545" s="51"/>
      <c r="F545" s="52"/>
      <c r="G545" s="53"/>
      <c r="H545" s="53"/>
    </row>
    <row r="546" spans="3:8" x14ac:dyDescent="0.15">
      <c r="C546" s="49"/>
      <c r="D546" s="50"/>
      <c r="E546" s="51"/>
      <c r="F546" s="52"/>
      <c r="G546" s="53"/>
      <c r="H546" s="53"/>
    </row>
    <row r="547" spans="3:8" x14ac:dyDescent="0.15">
      <c r="C547" s="49"/>
      <c r="D547" s="50"/>
      <c r="E547" s="51"/>
      <c r="F547" s="52"/>
      <c r="G547" s="53"/>
      <c r="H547" s="53"/>
    </row>
    <row r="548" spans="3:8" x14ac:dyDescent="0.15">
      <c r="C548" s="49"/>
      <c r="D548" s="50"/>
      <c r="E548" s="51"/>
      <c r="F548" s="52"/>
      <c r="G548" s="53"/>
      <c r="H548" s="53"/>
    </row>
    <row r="549" spans="3:8" x14ac:dyDescent="0.15">
      <c r="C549" s="49"/>
      <c r="D549" s="50"/>
      <c r="E549" s="51"/>
      <c r="F549" s="52"/>
      <c r="G549" s="53"/>
      <c r="H549" s="53"/>
    </row>
    <row r="550" spans="3:8" x14ac:dyDescent="0.15">
      <c r="C550" s="49"/>
      <c r="D550" s="50"/>
      <c r="E550" s="51"/>
      <c r="F550" s="52"/>
      <c r="G550" s="53"/>
      <c r="H550" s="53"/>
    </row>
    <row r="551" spans="3:8" x14ac:dyDescent="0.15">
      <c r="C551" s="49"/>
      <c r="D551" s="50"/>
      <c r="E551" s="51"/>
      <c r="F551" s="52"/>
      <c r="G551" s="53"/>
      <c r="H551" s="53"/>
    </row>
    <row r="552" spans="3:8" x14ac:dyDescent="0.15">
      <c r="C552" s="49"/>
      <c r="D552" s="50"/>
      <c r="E552" s="51"/>
      <c r="F552" s="52"/>
      <c r="G552" s="53"/>
      <c r="H552" s="53"/>
    </row>
    <row r="553" spans="3:8" x14ac:dyDescent="0.15">
      <c r="C553" s="49"/>
      <c r="D553" s="50"/>
      <c r="E553" s="51"/>
      <c r="F553" s="52"/>
      <c r="G553" s="53"/>
      <c r="H553" s="53"/>
    </row>
    <row r="554" spans="3:8" x14ac:dyDescent="0.15">
      <c r="C554" s="49"/>
      <c r="D554" s="50"/>
      <c r="E554" s="51"/>
      <c r="F554" s="52"/>
      <c r="G554" s="53"/>
      <c r="H554" s="53"/>
    </row>
    <row r="555" spans="3:8" x14ac:dyDescent="0.15">
      <c r="C555" s="49"/>
      <c r="D555" s="50"/>
      <c r="E555" s="51"/>
      <c r="F555" s="52"/>
      <c r="G555" s="53"/>
      <c r="H555" s="53"/>
    </row>
    <row r="556" spans="3:8" x14ac:dyDescent="0.15">
      <c r="C556" s="49"/>
      <c r="D556" s="50"/>
      <c r="E556" s="51"/>
      <c r="F556" s="52"/>
      <c r="G556" s="53"/>
      <c r="H556" s="53"/>
    </row>
    <row r="557" spans="3:8" x14ac:dyDescent="0.15">
      <c r="C557" s="49"/>
      <c r="D557" s="50"/>
      <c r="E557" s="51"/>
      <c r="F557" s="52"/>
      <c r="G557" s="53"/>
      <c r="H557" s="53"/>
    </row>
    <row r="558" spans="3:8" x14ac:dyDescent="0.15">
      <c r="C558" s="49"/>
      <c r="D558" s="50"/>
      <c r="E558" s="51"/>
      <c r="F558" s="52"/>
      <c r="G558" s="53"/>
      <c r="H558" s="53"/>
    </row>
    <row r="559" spans="3:8" x14ac:dyDescent="0.15">
      <c r="C559" s="49"/>
      <c r="D559" s="50"/>
      <c r="E559" s="51"/>
      <c r="F559" s="52"/>
      <c r="G559" s="53"/>
      <c r="H559" s="53"/>
    </row>
    <row r="560" spans="3:8" x14ac:dyDescent="0.15">
      <c r="C560" s="49"/>
      <c r="D560" s="50"/>
      <c r="E560" s="51"/>
      <c r="F560" s="52"/>
      <c r="G560" s="53"/>
      <c r="H560" s="53"/>
    </row>
    <row r="561" spans="3:8" x14ac:dyDescent="0.15">
      <c r="C561" s="49"/>
      <c r="D561" s="50"/>
      <c r="E561" s="51"/>
      <c r="F561" s="52"/>
      <c r="G561" s="53"/>
      <c r="H561" s="53"/>
    </row>
    <row r="562" spans="3:8" x14ac:dyDescent="0.15">
      <c r="C562" s="49"/>
      <c r="D562" s="50"/>
      <c r="E562" s="51"/>
      <c r="F562" s="52"/>
      <c r="G562" s="53"/>
      <c r="H562" s="53"/>
    </row>
    <row r="563" spans="3:8" x14ac:dyDescent="0.15">
      <c r="C563" s="49"/>
      <c r="D563" s="50"/>
      <c r="E563" s="51"/>
      <c r="F563" s="52"/>
      <c r="G563" s="53"/>
      <c r="H563" s="53"/>
    </row>
    <row r="564" spans="3:8" x14ac:dyDescent="0.15">
      <c r="C564" s="49"/>
      <c r="D564" s="50"/>
      <c r="E564" s="51"/>
      <c r="F564" s="52"/>
      <c r="G564" s="53"/>
      <c r="H564" s="53"/>
    </row>
    <row r="565" spans="3:8" x14ac:dyDescent="0.15">
      <c r="C565" s="49"/>
      <c r="D565" s="50"/>
      <c r="E565" s="51"/>
      <c r="F565" s="52"/>
      <c r="G565" s="53"/>
      <c r="H565" s="53"/>
    </row>
    <row r="566" spans="3:8" x14ac:dyDescent="0.15">
      <c r="C566" s="49"/>
      <c r="D566" s="50"/>
      <c r="E566" s="51"/>
      <c r="F566" s="52"/>
      <c r="G566" s="53"/>
      <c r="H566" s="53"/>
    </row>
    <row r="567" spans="3:8" x14ac:dyDescent="0.15">
      <c r="C567" s="49"/>
      <c r="D567" s="50"/>
      <c r="E567" s="51"/>
      <c r="F567" s="52"/>
      <c r="G567" s="53"/>
      <c r="H567" s="53"/>
    </row>
    <row r="568" spans="3:8" x14ac:dyDescent="0.15">
      <c r="C568" s="49"/>
      <c r="D568" s="50"/>
      <c r="E568" s="51"/>
      <c r="F568" s="52"/>
      <c r="G568" s="53"/>
      <c r="H568" s="53"/>
    </row>
    <row r="569" spans="3:8" x14ac:dyDescent="0.15">
      <c r="C569" s="49"/>
      <c r="D569" s="50"/>
      <c r="E569" s="51"/>
      <c r="F569" s="52"/>
      <c r="G569" s="53"/>
      <c r="H569" s="53"/>
    </row>
    <row r="570" spans="3:8" x14ac:dyDescent="0.15">
      <c r="C570" s="49"/>
      <c r="D570" s="50"/>
      <c r="E570" s="51"/>
      <c r="F570" s="52"/>
      <c r="G570" s="53"/>
      <c r="H570" s="53"/>
    </row>
    <row r="571" spans="3:8" x14ac:dyDescent="0.15">
      <c r="C571" s="49"/>
      <c r="D571" s="50"/>
      <c r="E571" s="51"/>
      <c r="F571" s="52"/>
      <c r="G571" s="53"/>
      <c r="H571" s="53"/>
    </row>
    <row r="572" spans="3:8" x14ac:dyDescent="0.15">
      <c r="C572" s="49"/>
      <c r="D572" s="50"/>
      <c r="E572" s="51"/>
      <c r="F572" s="52"/>
      <c r="G572" s="53"/>
      <c r="H572" s="53"/>
    </row>
    <row r="573" spans="3:8" x14ac:dyDescent="0.15">
      <c r="C573" s="49"/>
      <c r="D573" s="50"/>
      <c r="E573" s="51"/>
      <c r="F573" s="52"/>
      <c r="G573" s="53"/>
      <c r="H573" s="53"/>
    </row>
    <row r="574" spans="3:8" x14ac:dyDescent="0.15">
      <c r="C574" s="49"/>
      <c r="D574" s="50"/>
      <c r="E574" s="51"/>
      <c r="F574" s="52"/>
      <c r="G574" s="53"/>
      <c r="H574" s="53"/>
    </row>
    <row r="575" spans="3:8" x14ac:dyDescent="0.15">
      <c r="C575" s="49"/>
      <c r="D575" s="50"/>
      <c r="E575" s="51"/>
      <c r="F575" s="52"/>
      <c r="G575" s="53"/>
      <c r="H575" s="53"/>
    </row>
    <row r="576" spans="3:8" x14ac:dyDescent="0.15">
      <c r="C576" s="49"/>
      <c r="D576" s="50"/>
      <c r="E576" s="51"/>
      <c r="F576" s="52"/>
      <c r="G576" s="53"/>
      <c r="H576" s="53"/>
    </row>
    <row r="577" spans="3:8" x14ac:dyDescent="0.15">
      <c r="C577" s="49"/>
      <c r="D577" s="50"/>
      <c r="E577" s="51"/>
      <c r="F577" s="52"/>
      <c r="G577" s="53"/>
      <c r="H577" s="53"/>
    </row>
    <row r="578" spans="3:8" x14ac:dyDescent="0.15">
      <c r="C578" s="49"/>
      <c r="D578" s="50"/>
      <c r="E578" s="51"/>
      <c r="F578" s="52"/>
      <c r="G578" s="53"/>
      <c r="H578" s="53"/>
    </row>
    <row r="579" spans="3:8" x14ac:dyDescent="0.15">
      <c r="C579" s="49"/>
      <c r="D579" s="50"/>
      <c r="E579" s="51"/>
      <c r="F579" s="52"/>
      <c r="G579" s="53"/>
      <c r="H579" s="53"/>
    </row>
    <row r="580" spans="3:8" x14ac:dyDescent="0.15">
      <c r="C580" s="49"/>
      <c r="D580" s="50"/>
      <c r="E580" s="51"/>
      <c r="F580" s="52"/>
      <c r="G580" s="53"/>
      <c r="H580" s="53"/>
    </row>
    <row r="581" spans="3:8" x14ac:dyDescent="0.15">
      <c r="C581" s="49"/>
      <c r="D581" s="50"/>
      <c r="E581" s="51"/>
      <c r="F581" s="52"/>
      <c r="G581" s="53"/>
      <c r="H581" s="53"/>
    </row>
    <row r="582" spans="3:8" x14ac:dyDescent="0.15">
      <c r="C582" s="49"/>
      <c r="D582" s="50"/>
      <c r="E582" s="51"/>
      <c r="F582" s="52"/>
      <c r="G582" s="53"/>
      <c r="H582" s="53"/>
    </row>
    <row r="583" spans="3:8" x14ac:dyDescent="0.15">
      <c r="C583" s="49"/>
      <c r="D583" s="50"/>
      <c r="E583" s="51"/>
      <c r="F583" s="52"/>
      <c r="G583" s="53"/>
      <c r="H583" s="53"/>
    </row>
    <row r="584" spans="3:8" x14ac:dyDescent="0.15">
      <c r="C584" s="49"/>
      <c r="D584" s="50"/>
      <c r="E584" s="51"/>
      <c r="F584" s="52"/>
      <c r="G584" s="53"/>
      <c r="H584" s="53"/>
    </row>
    <row r="585" spans="3:8" x14ac:dyDescent="0.15">
      <c r="C585" s="49"/>
      <c r="D585" s="50"/>
      <c r="E585" s="51"/>
      <c r="F585" s="52"/>
      <c r="G585" s="53"/>
      <c r="H585" s="53"/>
    </row>
    <row r="586" spans="3:8" x14ac:dyDescent="0.15">
      <c r="C586" s="49"/>
      <c r="D586" s="50"/>
      <c r="E586" s="51"/>
      <c r="F586" s="52"/>
      <c r="G586" s="53"/>
      <c r="H586" s="53"/>
    </row>
    <row r="587" spans="3:8" x14ac:dyDescent="0.15">
      <c r="C587" s="49"/>
      <c r="D587" s="50"/>
      <c r="E587" s="51"/>
      <c r="F587" s="52"/>
      <c r="G587" s="53"/>
      <c r="H587" s="53"/>
    </row>
    <row r="588" spans="3:8" x14ac:dyDescent="0.15">
      <c r="C588" s="49"/>
      <c r="D588" s="50"/>
      <c r="E588" s="51"/>
      <c r="F588" s="52"/>
      <c r="G588" s="53"/>
      <c r="H588" s="53"/>
    </row>
    <row r="589" spans="3:8" x14ac:dyDescent="0.15">
      <c r="C589" s="49"/>
      <c r="D589" s="50"/>
      <c r="E589" s="51"/>
      <c r="F589" s="52"/>
      <c r="G589" s="53"/>
      <c r="H589" s="53"/>
    </row>
    <row r="590" spans="3:8" x14ac:dyDescent="0.15">
      <c r="C590" s="49"/>
      <c r="D590" s="50"/>
      <c r="E590" s="51"/>
      <c r="F590" s="52"/>
      <c r="G590" s="53"/>
      <c r="H590" s="53"/>
    </row>
    <row r="591" spans="3:8" x14ac:dyDescent="0.15">
      <c r="C591" s="49"/>
      <c r="D591" s="50"/>
      <c r="E591" s="51"/>
      <c r="F591" s="52"/>
      <c r="G591" s="53"/>
      <c r="H591" s="53"/>
    </row>
    <row r="592" spans="3:8" x14ac:dyDescent="0.15">
      <c r="C592" s="49"/>
      <c r="D592" s="50"/>
      <c r="E592" s="51"/>
      <c r="F592" s="52"/>
      <c r="G592" s="53"/>
      <c r="H592" s="53"/>
    </row>
    <row r="593" spans="3:8" x14ac:dyDescent="0.15">
      <c r="C593" s="49"/>
      <c r="D593" s="50"/>
      <c r="E593" s="51"/>
      <c r="F593" s="52"/>
      <c r="G593" s="53"/>
      <c r="H593" s="53"/>
    </row>
    <row r="594" spans="3:8" x14ac:dyDescent="0.15">
      <c r="C594" s="49"/>
      <c r="D594" s="50"/>
      <c r="E594" s="51"/>
      <c r="F594" s="52"/>
      <c r="G594" s="53"/>
      <c r="H594" s="53"/>
    </row>
    <row r="595" spans="3:8" x14ac:dyDescent="0.15">
      <c r="C595" s="49"/>
      <c r="D595" s="50"/>
      <c r="E595" s="51"/>
      <c r="F595" s="52"/>
      <c r="G595" s="53"/>
      <c r="H595" s="53"/>
    </row>
    <row r="596" spans="3:8" x14ac:dyDescent="0.15">
      <c r="C596" s="49"/>
      <c r="D596" s="50"/>
      <c r="E596" s="51"/>
      <c r="F596" s="52"/>
      <c r="G596" s="53"/>
      <c r="H596" s="53"/>
    </row>
    <row r="597" spans="3:8" x14ac:dyDescent="0.15">
      <c r="C597" s="49"/>
      <c r="D597" s="50"/>
      <c r="E597" s="51"/>
      <c r="F597" s="52"/>
      <c r="G597" s="53"/>
      <c r="H597" s="53"/>
    </row>
    <row r="598" spans="3:8" x14ac:dyDescent="0.15">
      <c r="C598" s="49"/>
      <c r="D598" s="50"/>
      <c r="E598" s="51"/>
      <c r="F598" s="52"/>
      <c r="G598" s="53"/>
      <c r="H598" s="53"/>
    </row>
    <row r="599" spans="3:8" x14ac:dyDescent="0.15">
      <c r="C599" s="49"/>
      <c r="D599" s="50"/>
      <c r="E599" s="51"/>
      <c r="F599" s="52"/>
      <c r="G599" s="53"/>
      <c r="H599" s="53"/>
    </row>
    <row r="600" spans="3:8" x14ac:dyDescent="0.15">
      <c r="C600" s="49"/>
      <c r="D600" s="50"/>
      <c r="E600" s="51"/>
      <c r="F600" s="52"/>
      <c r="G600" s="53"/>
      <c r="H600" s="53"/>
    </row>
    <row r="601" spans="3:8" x14ac:dyDescent="0.15">
      <c r="C601" s="49"/>
      <c r="D601" s="50"/>
      <c r="E601" s="51"/>
      <c r="F601" s="52"/>
      <c r="G601" s="53"/>
      <c r="H601" s="53"/>
    </row>
    <row r="602" spans="3:8" x14ac:dyDescent="0.15">
      <c r="C602" s="49"/>
      <c r="D602" s="50"/>
      <c r="E602" s="51"/>
      <c r="F602" s="52"/>
      <c r="G602" s="53"/>
      <c r="H602" s="53"/>
    </row>
    <row r="603" spans="3:8" x14ac:dyDescent="0.15">
      <c r="C603" s="49"/>
      <c r="D603" s="50"/>
      <c r="E603" s="51"/>
      <c r="F603" s="52"/>
      <c r="G603" s="53"/>
      <c r="H603" s="53"/>
    </row>
    <row r="604" spans="3:8" x14ac:dyDescent="0.15">
      <c r="C604" s="49"/>
      <c r="D604" s="50"/>
      <c r="E604" s="51"/>
      <c r="F604" s="52"/>
      <c r="G604" s="53"/>
      <c r="H604" s="53"/>
    </row>
    <row r="605" spans="3:8" x14ac:dyDescent="0.15">
      <c r="C605" s="49"/>
      <c r="D605" s="50"/>
      <c r="E605" s="51"/>
      <c r="F605" s="52"/>
      <c r="G605" s="53"/>
      <c r="H605" s="53"/>
    </row>
    <row r="606" spans="3:8" x14ac:dyDescent="0.15">
      <c r="C606" s="49"/>
      <c r="D606" s="50"/>
      <c r="E606" s="51"/>
      <c r="F606" s="52"/>
      <c r="G606" s="53"/>
      <c r="H606" s="53"/>
    </row>
    <row r="607" spans="3:8" x14ac:dyDescent="0.15">
      <c r="C607" s="49"/>
      <c r="D607" s="50"/>
      <c r="E607" s="51"/>
      <c r="F607" s="52"/>
      <c r="G607" s="53"/>
      <c r="H607" s="53"/>
    </row>
    <row r="608" spans="3:8" x14ac:dyDescent="0.15">
      <c r="C608" s="49"/>
      <c r="D608" s="50"/>
      <c r="E608" s="51"/>
      <c r="F608" s="52"/>
      <c r="G608" s="53"/>
      <c r="H608" s="53"/>
    </row>
    <row r="609" spans="3:8" x14ac:dyDescent="0.15">
      <c r="C609" s="49"/>
      <c r="D609" s="50"/>
      <c r="E609" s="51"/>
      <c r="F609" s="52"/>
      <c r="G609" s="53"/>
      <c r="H609" s="53"/>
    </row>
    <row r="610" spans="3:8" x14ac:dyDescent="0.15">
      <c r="C610" s="49"/>
      <c r="D610" s="50"/>
      <c r="E610" s="51"/>
      <c r="F610" s="52"/>
      <c r="G610" s="53"/>
      <c r="H610" s="53"/>
    </row>
    <row r="611" spans="3:8" x14ac:dyDescent="0.15">
      <c r="C611" s="49"/>
      <c r="D611" s="50"/>
      <c r="E611" s="51"/>
      <c r="F611" s="52"/>
      <c r="G611" s="53"/>
      <c r="H611" s="53"/>
    </row>
    <row r="612" spans="3:8" x14ac:dyDescent="0.15">
      <c r="C612" s="49"/>
      <c r="D612" s="50"/>
      <c r="E612" s="51"/>
      <c r="F612" s="52"/>
      <c r="G612" s="53"/>
      <c r="H612" s="53"/>
    </row>
    <row r="613" spans="3:8" x14ac:dyDescent="0.15">
      <c r="C613" s="49"/>
      <c r="D613" s="50"/>
      <c r="E613" s="51"/>
      <c r="F613" s="52"/>
      <c r="G613" s="53"/>
      <c r="H613" s="53"/>
    </row>
    <row r="614" spans="3:8" x14ac:dyDescent="0.15">
      <c r="C614" s="49"/>
      <c r="D614" s="50"/>
      <c r="E614" s="51"/>
      <c r="F614" s="52"/>
      <c r="G614" s="53"/>
      <c r="H614" s="53"/>
    </row>
    <row r="615" spans="3:8" x14ac:dyDescent="0.15">
      <c r="C615" s="49"/>
      <c r="D615" s="50"/>
      <c r="E615" s="51"/>
      <c r="F615" s="52"/>
      <c r="G615" s="53"/>
      <c r="H615" s="53"/>
    </row>
    <row r="616" spans="3:8" x14ac:dyDescent="0.15">
      <c r="C616" s="49"/>
      <c r="D616" s="50"/>
      <c r="E616" s="51"/>
      <c r="F616" s="52"/>
      <c r="G616" s="53"/>
      <c r="H616" s="53"/>
    </row>
    <row r="617" spans="3:8" x14ac:dyDescent="0.15">
      <c r="C617" s="49"/>
      <c r="D617" s="50"/>
      <c r="E617" s="51"/>
      <c r="F617" s="52"/>
      <c r="G617" s="53"/>
      <c r="H617" s="53"/>
    </row>
    <row r="618" spans="3:8" x14ac:dyDescent="0.15">
      <c r="C618" s="49"/>
      <c r="D618" s="50"/>
      <c r="E618" s="51"/>
      <c r="F618" s="52"/>
      <c r="G618" s="53"/>
      <c r="H618" s="53"/>
    </row>
    <row r="619" spans="3:8" x14ac:dyDescent="0.15">
      <c r="C619" s="49"/>
      <c r="D619" s="50"/>
      <c r="E619" s="51"/>
      <c r="F619" s="52"/>
      <c r="G619" s="53"/>
      <c r="H619" s="53"/>
    </row>
    <row r="620" spans="3:8" x14ac:dyDescent="0.15">
      <c r="C620" s="49"/>
      <c r="D620" s="50"/>
      <c r="E620" s="51"/>
      <c r="F620" s="52"/>
      <c r="G620" s="53"/>
      <c r="H620" s="53"/>
    </row>
    <row r="621" spans="3:8" x14ac:dyDescent="0.15">
      <c r="C621" s="49"/>
      <c r="D621" s="50"/>
      <c r="E621" s="51"/>
      <c r="F621" s="52"/>
      <c r="G621" s="53"/>
      <c r="H621" s="53"/>
    </row>
    <row r="622" spans="3:8" x14ac:dyDescent="0.15">
      <c r="C622" s="49"/>
      <c r="D622" s="50"/>
      <c r="E622" s="51"/>
      <c r="F622" s="52"/>
      <c r="G622" s="53"/>
      <c r="H622" s="53"/>
    </row>
    <row r="623" spans="3:8" x14ac:dyDescent="0.15">
      <c r="C623" s="49"/>
      <c r="D623" s="50"/>
      <c r="E623" s="51"/>
      <c r="F623" s="52"/>
      <c r="G623" s="53"/>
      <c r="H623" s="53"/>
    </row>
    <row r="624" spans="3:8" x14ac:dyDescent="0.15">
      <c r="C624" s="49"/>
      <c r="D624" s="50"/>
      <c r="E624" s="51"/>
      <c r="F624" s="52"/>
      <c r="G624" s="53"/>
      <c r="H624" s="53"/>
    </row>
    <row r="625" spans="3:8" x14ac:dyDescent="0.15">
      <c r="C625" s="49"/>
      <c r="D625" s="50"/>
      <c r="E625" s="51"/>
      <c r="F625" s="52"/>
      <c r="G625" s="53"/>
      <c r="H625" s="53"/>
    </row>
    <row r="626" spans="3:8" x14ac:dyDescent="0.15">
      <c r="C626" s="49"/>
      <c r="D626" s="50"/>
      <c r="E626" s="51"/>
      <c r="F626" s="52"/>
      <c r="G626" s="53"/>
      <c r="H626" s="53"/>
    </row>
    <row r="627" spans="3:8" x14ac:dyDescent="0.15">
      <c r="C627" s="49"/>
      <c r="D627" s="50"/>
      <c r="E627" s="51"/>
      <c r="F627" s="52"/>
      <c r="G627" s="53"/>
      <c r="H627" s="53"/>
    </row>
    <row r="628" spans="3:8" x14ac:dyDescent="0.15">
      <c r="C628" s="49"/>
      <c r="D628" s="50"/>
      <c r="E628" s="51"/>
      <c r="F628" s="52"/>
      <c r="G628" s="53"/>
      <c r="H628" s="53"/>
    </row>
    <row r="629" spans="3:8" x14ac:dyDescent="0.15">
      <c r="C629" s="49"/>
      <c r="D629" s="50"/>
      <c r="E629" s="51"/>
      <c r="F629" s="52"/>
      <c r="G629" s="53"/>
      <c r="H629" s="53"/>
    </row>
    <row r="630" spans="3:8" x14ac:dyDescent="0.15">
      <c r="C630" s="49"/>
      <c r="D630" s="50"/>
      <c r="E630" s="51"/>
      <c r="F630" s="52"/>
      <c r="G630" s="53"/>
      <c r="H630" s="53"/>
    </row>
    <row r="631" spans="3:8" x14ac:dyDescent="0.15">
      <c r="C631" s="49"/>
      <c r="D631" s="50"/>
      <c r="E631" s="51"/>
      <c r="F631" s="52"/>
      <c r="G631" s="53"/>
      <c r="H631" s="53"/>
    </row>
    <row r="632" spans="3:8" x14ac:dyDescent="0.15">
      <c r="C632" s="49"/>
      <c r="D632" s="50"/>
      <c r="E632" s="51"/>
      <c r="F632" s="52"/>
      <c r="G632" s="53"/>
      <c r="H632" s="53"/>
    </row>
    <row r="633" spans="3:8" x14ac:dyDescent="0.15">
      <c r="C633" s="49"/>
      <c r="D633" s="50"/>
      <c r="E633" s="51"/>
      <c r="F633" s="52"/>
      <c r="G633" s="53"/>
      <c r="H633" s="53"/>
    </row>
    <row r="634" spans="3:8" x14ac:dyDescent="0.15">
      <c r="C634" s="49"/>
      <c r="D634" s="50"/>
      <c r="E634" s="51"/>
      <c r="F634" s="52"/>
      <c r="G634" s="53"/>
      <c r="H634" s="53"/>
    </row>
    <row r="635" spans="3:8" x14ac:dyDescent="0.15">
      <c r="C635" s="49"/>
      <c r="D635" s="50"/>
      <c r="E635" s="51"/>
      <c r="F635" s="52"/>
      <c r="G635" s="53"/>
      <c r="H635" s="53"/>
    </row>
    <row r="636" spans="3:8" x14ac:dyDescent="0.15">
      <c r="C636" s="49"/>
      <c r="D636" s="50"/>
      <c r="E636" s="51"/>
      <c r="F636" s="52"/>
      <c r="G636" s="53"/>
      <c r="H636" s="53"/>
    </row>
    <row r="637" spans="3:8" x14ac:dyDescent="0.15">
      <c r="C637" s="49"/>
      <c r="D637" s="50"/>
      <c r="E637" s="51"/>
      <c r="F637" s="52"/>
      <c r="G637" s="53"/>
      <c r="H637" s="53"/>
    </row>
    <row r="638" spans="3:8" x14ac:dyDescent="0.15">
      <c r="C638" s="49"/>
      <c r="D638" s="50"/>
      <c r="E638" s="51"/>
      <c r="F638" s="52"/>
      <c r="G638" s="53"/>
      <c r="H638" s="53"/>
    </row>
    <row r="639" spans="3:8" x14ac:dyDescent="0.15">
      <c r="C639" s="49"/>
      <c r="D639" s="50"/>
      <c r="E639" s="51"/>
      <c r="F639" s="52"/>
      <c r="G639" s="53"/>
      <c r="H639" s="53"/>
    </row>
    <row r="640" spans="3:8" x14ac:dyDescent="0.15">
      <c r="C640" s="49"/>
      <c r="D640" s="50"/>
      <c r="E640" s="51"/>
      <c r="F640" s="52"/>
      <c r="G640" s="53"/>
      <c r="H640" s="53"/>
    </row>
    <row r="641" spans="3:8" x14ac:dyDescent="0.15">
      <c r="C641" s="49"/>
      <c r="D641" s="50"/>
      <c r="E641" s="51"/>
      <c r="F641" s="52"/>
      <c r="G641" s="53"/>
      <c r="H641" s="53"/>
    </row>
    <row r="642" spans="3:8" x14ac:dyDescent="0.15">
      <c r="C642" s="49"/>
      <c r="D642" s="50"/>
      <c r="E642" s="51"/>
      <c r="F642" s="52"/>
      <c r="G642" s="53"/>
      <c r="H642" s="53"/>
    </row>
    <row r="643" spans="3:8" x14ac:dyDescent="0.15">
      <c r="C643" s="49"/>
      <c r="D643" s="50"/>
      <c r="E643" s="51"/>
      <c r="F643" s="52"/>
      <c r="G643" s="53"/>
      <c r="H643" s="53"/>
    </row>
    <row r="644" spans="3:8" x14ac:dyDescent="0.15">
      <c r="C644" s="49"/>
      <c r="D644" s="50"/>
      <c r="E644" s="51"/>
      <c r="F644" s="52"/>
      <c r="G644" s="53"/>
      <c r="H644" s="53"/>
    </row>
    <row r="645" spans="3:8" x14ac:dyDescent="0.15">
      <c r="C645" s="49"/>
      <c r="D645" s="50"/>
      <c r="E645" s="51"/>
      <c r="F645" s="52"/>
      <c r="G645" s="53"/>
      <c r="H645" s="53"/>
    </row>
    <row r="646" spans="3:8" x14ac:dyDescent="0.15">
      <c r="C646" s="49"/>
      <c r="D646" s="50"/>
      <c r="E646" s="51"/>
      <c r="F646" s="52"/>
      <c r="G646" s="53"/>
      <c r="H646" s="53"/>
    </row>
    <row r="647" spans="3:8" x14ac:dyDescent="0.15">
      <c r="C647" s="49"/>
      <c r="D647" s="50"/>
      <c r="E647" s="51"/>
      <c r="F647" s="52"/>
      <c r="G647" s="53"/>
      <c r="H647" s="53"/>
    </row>
    <row r="648" spans="3:8" x14ac:dyDescent="0.15">
      <c r="C648" s="49"/>
      <c r="D648" s="50"/>
      <c r="E648" s="51"/>
      <c r="F648" s="52"/>
      <c r="G648" s="53"/>
      <c r="H648" s="53"/>
    </row>
    <row r="649" spans="3:8" x14ac:dyDescent="0.15">
      <c r="C649" s="49"/>
      <c r="D649" s="50"/>
      <c r="E649" s="51"/>
      <c r="F649" s="52"/>
      <c r="G649" s="53"/>
      <c r="H649" s="53"/>
    </row>
    <row r="650" spans="3:8" x14ac:dyDescent="0.15">
      <c r="C650" s="49"/>
      <c r="D650" s="50"/>
      <c r="E650" s="51"/>
      <c r="F650" s="52"/>
      <c r="G650" s="53"/>
      <c r="H650" s="53"/>
    </row>
    <row r="651" spans="3:8" x14ac:dyDescent="0.15">
      <c r="C651" s="49"/>
      <c r="D651" s="50"/>
      <c r="E651" s="51"/>
      <c r="F651" s="52"/>
      <c r="G651" s="53"/>
      <c r="H651" s="53"/>
    </row>
    <row r="652" spans="3:8" x14ac:dyDescent="0.15">
      <c r="C652" s="49"/>
      <c r="D652" s="50"/>
      <c r="E652" s="51"/>
      <c r="F652" s="52"/>
      <c r="G652" s="53"/>
      <c r="H652" s="53"/>
    </row>
    <row r="653" spans="3:8" x14ac:dyDescent="0.15">
      <c r="C653" s="49"/>
      <c r="D653" s="50"/>
      <c r="E653" s="51"/>
      <c r="F653" s="52"/>
      <c r="G653" s="53"/>
      <c r="H653" s="53"/>
    </row>
    <row r="654" spans="3:8" x14ac:dyDescent="0.15">
      <c r="C654" s="49"/>
      <c r="D654" s="50"/>
      <c r="E654" s="51"/>
      <c r="F654" s="52"/>
      <c r="G654" s="53"/>
      <c r="H654" s="53"/>
    </row>
    <row r="655" spans="3:8" x14ac:dyDescent="0.15">
      <c r="C655" s="49"/>
      <c r="D655" s="50"/>
      <c r="E655" s="51"/>
      <c r="F655" s="52"/>
      <c r="G655" s="53"/>
      <c r="H655" s="53"/>
    </row>
    <row r="656" spans="3:8" x14ac:dyDescent="0.15">
      <c r="C656" s="49"/>
      <c r="D656" s="50"/>
      <c r="E656" s="51"/>
      <c r="F656" s="52"/>
      <c r="G656" s="53"/>
      <c r="H656" s="53"/>
    </row>
    <row r="657" spans="3:8" x14ac:dyDescent="0.15">
      <c r="C657" s="49"/>
      <c r="D657" s="50"/>
      <c r="E657" s="51"/>
      <c r="F657" s="52"/>
      <c r="G657" s="53"/>
      <c r="H657" s="53"/>
    </row>
    <row r="658" spans="3:8" x14ac:dyDescent="0.15">
      <c r="C658" s="49"/>
      <c r="D658" s="50"/>
      <c r="E658" s="51"/>
      <c r="F658" s="52"/>
      <c r="G658" s="53"/>
      <c r="H658" s="53"/>
    </row>
    <row r="659" spans="3:8" x14ac:dyDescent="0.15">
      <c r="C659" s="49"/>
      <c r="D659" s="50"/>
      <c r="E659" s="51"/>
      <c r="F659" s="52"/>
      <c r="G659" s="53"/>
      <c r="H659" s="53"/>
    </row>
    <row r="660" spans="3:8" x14ac:dyDescent="0.15">
      <c r="C660" s="49"/>
      <c r="D660" s="50"/>
      <c r="E660" s="51"/>
      <c r="F660" s="52"/>
      <c r="G660" s="53"/>
      <c r="H660" s="53"/>
    </row>
    <row r="661" spans="3:8" x14ac:dyDescent="0.15">
      <c r="C661" s="49"/>
      <c r="D661" s="50"/>
      <c r="E661" s="51"/>
      <c r="F661" s="52"/>
      <c r="G661" s="53"/>
      <c r="H661" s="53"/>
    </row>
    <row r="662" spans="3:8" x14ac:dyDescent="0.15">
      <c r="C662" s="49"/>
      <c r="D662" s="50"/>
      <c r="E662" s="51"/>
      <c r="F662" s="52"/>
      <c r="G662" s="53"/>
      <c r="H662" s="53"/>
    </row>
    <row r="663" spans="3:8" x14ac:dyDescent="0.15">
      <c r="C663" s="49"/>
      <c r="D663" s="50"/>
      <c r="E663" s="51"/>
      <c r="F663" s="52"/>
      <c r="G663" s="53"/>
      <c r="H663" s="53"/>
    </row>
    <row r="664" spans="3:8" x14ac:dyDescent="0.15">
      <c r="C664" s="49"/>
      <c r="D664" s="50"/>
      <c r="E664" s="51"/>
      <c r="F664" s="52"/>
      <c r="G664" s="53"/>
      <c r="H664" s="53"/>
    </row>
    <row r="665" spans="3:8" x14ac:dyDescent="0.15">
      <c r="C665" s="49"/>
      <c r="D665" s="50"/>
      <c r="E665" s="51"/>
      <c r="F665" s="52"/>
      <c r="G665" s="53"/>
      <c r="H665" s="53"/>
    </row>
    <row r="666" spans="3:8" x14ac:dyDescent="0.15">
      <c r="C666" s="49"/>
      <c r="D666" s="50"/>
      <c r="E666" s="51"/>
      <c r="F666" s="52"/>
      <c r="G666" s="53"/>
      <c r="H666" s="53"/>
    </row>
    <row r="667" spans="3:8" x14ac:dyDescent="0.15">
      <c r="C667" s="49"/>
      <c r="D667" s="50"/>
      <c r="E667" s="51"/>
      <c r="F667" s="52"/>
      <c r="G667" s="53"/>
      <c r="H667" s="53"/>
    </row>
    <row r="668" spans="3:8" x14ac:dyDescent="0.15">
      <c r="C668" s="49"/>
      <c r="D668" s="50"/>
      <c r="E668" s="51"/>
      <c r="F668" s="52"/>
      <c r="G668" s="53"/>
      <c r="H668" s="53"/>
    </row>
    <row r="669" spans="3:8" x14ac:dyDescent="0.15">
      <c r="C669" s="49"/>
      <c r="D669" s="50"/>
      <c r="E669" s="51"/>
      <c r="F669" s="52"/>
      <c r="G669" s="53"/>
      <c r="H669" s="53"/>
    </row>
    <row r="670" spans="3:8" x14ac:dyDescent="0.15">
      <c r="C670" s="49"/>
      <c r="D670" s="50"/>
      <c r="E670" s="51"/>
      <c r="F670" s="52"/>
      <c r="G670" s="53"/>
      <c r="H670" s="53"/>
    </row>
    <row r="671" spans="3:8" x14ac:dyDescent="0.15">
      <c r="C671" s="49"/>
      <c r="D671" s="50"/>
      <c r="E671" s="51"/>
      <c r="F671" s="52"/>
      <c r="G671" s="53"/>
      <c r="H671" s="53"/>
    </row>
    <row r="672" spans="3:8" x14ac:dyDescent="0.15">
      <c r="C672" s="49"/>
      <c r="D672" s="50"/>
      <c r="E672" s="51"/>
      <c r="F672" s="52"/>
      <c r="G672" s="53"/>
      <c r="H672" s="53"/>
    </row>
    <row r="673" spans="3:8" x14ac:dyDescent="0.15">
      <c r="C673" s="49"/>
      <c r="D673" s="50"/>
      <c r="E673" s="51"/>
      <c r="F673" s="52"/>
      <c r="G673" s="53"/>
      <c r="H673" s="53"/>
    </row>
    <row r="674" spans="3:8" x14ac:dyDescent="0.15">
      <c r="C674" s="49"/>
      <c r="D674" s="50"/>
      <c r="E674" s="51"/>
      <c r="F674" s="52"/>
      <c r="G674" s="53"/>
      <c r="H674" s="53"/>
    </row>
    <row r="675" spans="3:8" x14ac:dyDescent="0.15">
      <c r="C675" s="49"/>
      <c r="D675" s="50"/>
      <c r="E675" s="51"/>
      <c r="F675" s="52"/>
      <c r="G675" s="53"/>
      <c r="H675" s="53"/>
    </row>
    <row r="676" spans="3:8" x14ac:dyDescent="0.15">
      <c r="C676" s="49"/>
      <c r="D676" s="50"/>
      <c r="E676" s="51"/>
      <c r="F676" s="52"/>
      <c r="G676" s="53"/>
      <c r="H676" s="53"/>
    </row>
    <row r="677" spans="3:8" x14ac:dyDescent="0.15">
      <c r="C677" s="49"/>
      <c r="D677" s="50"/>
      <c r="E677" s="51"/>
      <c r="F677" s="52"/>
      <c r="G677" s="53"/>
      <c r="H677" s="53"/>
    </row>
    <row r="678" spans="3:8" x14ac:dyDescent="0.15">
      <c r="C678" s="49"/>
      <c r="D678" s="50"/>
      <c r="E678" s="51"/>
      <c r="F678" s="52"/>
      <c r="G678" s="53"/>
      <c r="H678" s="53"/>
    </row>
    <row r="679" spans="3:8" x14ac:dyDescent="0.15">
      <c r="C679" s="49"/>
      <c r="D679" s="50"/>
      <c r="E679" s="51"/>
      <c r="F679" s="52"/>
      <c r="G679" s="53"/>
      <c r="H679" s="53"/>
    </row>
    <row r="680" spans="3:8" x14ac:dyDescent="0.15">
      <c r="C680" s="49"/>
      <c r="D680" s="50"/>
      <c r="E680" s="51"/>
      <c r="F680" s="52"/>
      <c r="G680" s="53"/>
      <c r="H680" s="53"/>
    </row>
    <row r="681" spans="3:8" x14ac:dyDescent="0.15">
      <c r="C681" s="49"/>
      <c r="D681" s="50"/>
      <c r="E681" s="51"/>
      <c r="F681" s="52"/>
      <c r="G681" s="53"/>
      <c r="H681" s="53"/>
    </row>
    <row r="682" spans="3:8" x14ac:dyDescent="0.15">
      <c r="C682" s="49"/>
      <c r="D682" s="50"/>
      <c r="E682" s="51"/>
      <c r="F682" s="52"/>
      <c r="G682" s="53"/>
      <c r="H682" s="53"/>
    </row>
    <row r="683" spans="3:8" x14ac:dyDescent="0.15">
      <c r="C683" s="49"/>
      <c r="D683" s="50"/>
      <c r="E683" s="51"/>
      <c r="F683" s="52"/>
      <c r="G683" s="53"/>
      <c r="H683" s="53"/>
    </row>
    <row r="684" spans="3:8" x14ac:dyDescent="0.15">
      <c r="C684" s="49"/>
      <c r="D684" s="50"/>
      <c r="E684" s="51"/>
      <c r="F684" s="52"/>
      <c r="G684" s="53"/>
      <c r="H684" s="53"/>
    </row>
    <row r="685" spans="3:8" x14ac:dyDescent="0.15">
      <c r="C685" s="49"/>
      <c r="D685" s="50"/>
      <c r="E685" s="51"/>
      <c r="F685" s="52"/>
      <c r="G685" s="53"/>
      <c r="H685" s="53"/>
    </row>
    <row r="686" spans="3:8" x14ac:dyDescent="0.15">
      <c r="C686" s="49"/>
      <c r="D686" s="50"/>
      <c r="E686" s="51"/>
      <c r="F686" s="52"/>
      <c r="G686" s="53"/>
      <c r="H686" s="53"/>
    </row>
    <row r="687" spans="3:8" x14ac:dyDescent="0.15">
      <c r="C687" s="49"/>
      <c r="D687" s="50"/>
      <c r="E687" s="51"/>
      <c r="F687" s="52"/>
      <c r="G687" s="53"/>
      <c r="H687" s="53"/>
    </row>
    <row r="688" spans="3:8" x14ac:dyDescent="0.15">
      <c r="C688" s="49"/>
      <c r="D688" s="50"/>
      <c r="E688" s="51"/>
      <c r="F688" s="52"/>
      <c r="G688" s="53"/>
      <c r="H688" s="53"/>
    </row>
    <row r="689" spans="3:8" x14ac:dyDescent="0.15">
      <c r="C689" s="49"/>
      <c r="D689" s="50"/>
      <c r="E689" s="51"/>
      <c r="F689" s="52"/>
      <c r="G689" s="53"/>
      <c r="H689" s="53"/>
    </row>
    <row r="690" spans="3:8" x14ac:dyDescent="0.15">
      <c r="C690" s="49"/>
      <c r="D690" s="50"/>
      <c r="E690" s="51"/>
      <c r="F690" s="52"/>
      <c r="G690" s="53"/>
      <c r="H690" s="53"/>
    </row>
    <row r="691" spans="3:8" x14ac:dyDescent="0.15">
      <c r="C691" s="49"/>
      <c r="D691" s="50"/>
      <c r="E691" s="51"/>
      <c r="F691" s="52"/>
      <c r="G691" s="53"/>
      <c r="H691" s="53"/>
    </row>
    <row r="692" spans="3:8" x14ac:dyDescent="0.15">
      <c r="C692" s="49"/>
      <c r="D692" s="50"/>
      <c r="E692" s="51"/>
      <c r="F692" s="52"/>
      <c r="G692" s="53"/>
      <c r="H692" s="53"/>
    </row>
    <row r="693" spans="3:8" x14ac:dyDescent="0.15">
      <c r="C693" s="49"/>
      <c r="D693" s="50"/>
      <c r="E693" s="51"/>
      <c r="F693" s="52"/>
      <c r="G693" s="53"/>
      <c r="H693" s="53"/>
    </row>
    <row r="694" spans="3:8" x14ac:dyDescent="0.15">
      <c r="C694" s="49"/>
      <c r="D694" s="50"/>
      <c r="E694" s="51"/>
      <c r="F694" s="52"/>
      <c r="G694" s="53"/>
      <c r="H694" s="53"/>
    </row>
    <row r="695" spans="3:8" x14ac:dyDescent="0.15">
      <c r="C695" s="49"/>
      <c r="D695" s="50"/>
      <c r="E695" s="51"/>
      <c r="F695" s="52"/>
      <c r="G695" s="53"/>
      <c r="H695" s="53"/>
    </row>
    <row r="696" spans="3:8" x14ac:dyDescent="0.15">
      <c r="C696" s="49"/>
      <c r="D696" s="50"/>
      <c r="E696" s="51"/>
      <c r="F696" s="52"/>
      <c r="G696" s="53"/>
      <c r="H696" s="53"/>
    </row>
    <row r="697" spans="3:8" x14ac:dyDescent="0.15">
      <c r="C697" s="49"/>
      <c r="D697" s="50"/>
      <c r="E697" s="51"/>
      <c r="F697" s="52"/>
      <c r="G697" s="53"/>
      <c r="H697" s="53"/>
    </row>
    <row r="698" spans="3:8" x14ac:dyDescent="0.15">
      <c r="C698" s="49"/>
      <c r="D698" s="50"/>
      <c r="E698" s="51"/>
      <c r="F698" s="52"/>
      <c r="G698" s="53"/>
      <c r="H698" s="53"/>
    </row>
    <row r="699" spans="3:8" x14ac:dyDescent="0.15">
      <c r="C699" s="49"/>
      <c r="D699" s="50"/>
      <c r="E699" s="51"/>
      <c r="F699" s="52"/>
      <c r="G699" s="53"/>
      <c r="H699" s="53"/>
    </row>
    <row r="700" spans="3:8" x14ac:dyDescent="0.15">
      <c r="C700" s="49"/>
      <c r="D700" s="50"/>
      <c r="E700" s="51"/>
      <c r="F700" s="52"/>
      <c r="G700" s="53"/>
      <c r="H700" s="53"/>
    </row>
    <row r="701" spans="3:8" x14ac:dyDescent="0.15">
      <c r="C701" s="49"/>
      <c r="D701" s="50"/>
      <c r="E701" s="51"/>
      <c r="F701" s="52"/>
      <c r="G701" s="53"/>
      <c r="H701" s="53"/>
    </row>
    <row r="702" spans="3:8" x14ac:dyDescent="0.15">
      <c r="C702" s="49"/>
      <c r="D702" s="50"/>
      <c r="E702" s="51"/>
      <c r="F702" s="52"/>
      <c r="G702" s="53"/>
      <c r="H702" s="53"/>
    </row>
    <row r="703" spans="3:8" x14ac:dyDescent="0.15">
      <c r="C703" s="49"/>
      <c r="D703" s="50"/>
      <c r="E703" s="51"/>
      <c r="F703" s="52"/>
      <c r="G703" s="53"/>
      <c r="H703" s="53"/>
    </row>
    <row r="704" spans="3:8" x14ac:dyDescent="0.15">
      <c r="C704" s="49"/>
      <c r="D704" s="50"/>
      <c r="E704" s="51"/>
      <c r="F704" s="52"/>
      <c r="G704" s="53"/>
      <c r="H704" s="53"/>
    </row>
    <row r="705" spans="3:8" x14ac:dyDescent="0.15">
      <c r="C705" s="49"/>
      <c r="D705" s="50"/>
      <c r="E705" s="51"/>
      <c r="F705" s="52"/>
      <c r="G705" s="53"/>
      <c r="H705" s="53"/>
    </row>
    <row r="706" spans="3:8" x14ac:dyDescent="0.15">
      <c r="C706" s="49"/>
      <c r="D706" s="50"/>
      <c r="E706" s="51"/>
      <c r="F706" s="52"/>
      <c r="G706" s="53"/>
      <c r="H706" s="53"/>
    </row>
    <row r="707" spans="3:8" x14ac:dyDescent="0.15">
      <c r="C707" s="49"/>
      <c r="D707" s="50"/>
      <c r="E707" s="51"/>
      <c r="F707" s="52"/>
      <c r="G707" s="53"/>
      <c r="H707" s="53"/>
    </row>
    <row r="708" spans="3:8" x14ac:dyDescent="0.15">
      <c r="C708" s="49"/>
      <c r="D708" s="50"/>
      <c r="E708" s="51"/>
      <c r="F708" s="52"/>
      <c r="G708" s="53"/>
      <c r="H708" s="53"/>
    </row>
    <row r="709" spans="3:8" x14ac:dyDescent="0.15">
      <c r="C709" s="49"/>
      <c r="D709" s="50"/>
      <c r="E709" s="51"/>
      <c r="F709" s="52"/>
      <c r="G709" s="53"/>
      <c r="H709" s="53"/>
    </row>
    <row r="710" spans="3:8" x14ac:dyDescent="0.15">
      <c r="C710" s="49"/>
      <c r="D710" s="50"/>
      <c r="E710" s="51"/>
      <c r="F710" s="52"/>
      <c r="G710" s="53"/>
      <c r="H710" s="53"/>
    </row>
    <row r="711" spans="3:8" x14ac:dyDescent="0.15">
      <c r="C711" s="49"/>
      <c r="D711" s="50"/>
      <c r="E711" s="51"/>
      <c r="F711" s="52"/>
      <c r="G711" s="53"/>
      <c r="H711" s="53"/>
    </row>
    <row r="712" spans="3:8" x14ac:dyDescent="0.15">
      <c r="C712" s="49"/>
      <c r="D712" s="50"/>
      <c r="E712" s="51"/>
      <c r="F712" s="52"/>
      <c r="G712" s="53"/>
      <c r="H712" s="53"/>
    </row>
    <row r="713" spans="3:8" x14ac:dyDescent="0.15">
      <c r="C713" s="49"/>
      <c r="D713" s="50"/>
      <c r="E713" s="51"/>
      <c r="F713" s="52"/>
      <c r="G713" s="53"/>
      <c r="H713" s="53"/>
    </row>
    <row r="714" spans="3:8" x14ac:dyDescent="0.15">
      <c r="C714" s="49"/>
      <c r="D714" s="50"/>
      <c r="E714" s="51"/>
      <c r="F714" s="52"/>
      <c r="G714" s="53"/>
      <c r="H714" s="53"/>
    </row>
    <row r="715" spans="3:8" x14ac:dyDescent="0.15">
      <c r="C715" s="49"/>
      <c r="D715" s="50"/>
      <c r="E715" s="51"/>
      <c r="F715" s="52"/>
      <c r="G715" s="53"/>
      <c r="H715" s="53"/>
    </row>
    <row r="716" spans="3:8" x14ac:dyDescent="0.15">
      <c r="C716" s="49"/>
      <c r="D716" s="50"/>
      <c r="E716" s="51"/>
      <c r="F716" s="52"/>
      <c r="G716" s="53"/>
      <c r="H716" s="53"/>
    </row>
    <row r="717" spans="3:8" x14ac:dyDescent="0.15">
      <c r="C717" s="49"/>
      <c r="D717" s="50"/>
      <c r="E717" s="51"/>
      <c r="F717" s="52"/>
      <c r="G717" s="53"/>
      <c r="H717" s="53"/>
    </row>
    <row r="718" spans="3:8" x14ac:dyDescent="0.15">
      <c r="C718" s="49"/>
      <c r="D718" s="50"/>
      <c r="E718" s="51"/>
      <c r="F718" s="52"/>
      <c r="G718" s="53"/>
      <c r="H718" s="53"/>
    </row>
    <row r="719" spans="3:8" x14ac:dyDescent="0.15">
      <c r="C719" s="49"/>
      <c r="D719" s="50"/>
      <c r="E719" s="51"/>
      <c r="F719" s="52"/>
      <c r="G719" s="53"/>
      <c r="H719" s="53"/>
    </row>
    <row r="720" spans="3:8" x14ac:dyDescent="0.15">
      <c r="C720" s="49"/>
      <c r="D720" s="50"/>
      <c r="E720" s="51"/>
      <c r="F720" s="52"/>
      <c r="G720" s="53"/>
      <c r="H720" s="53"/>
    </row>
    <row r="721" spans="3:8" x14ac:dyDescent="0.15">
      <c r="C721" s="49"/>
      <c r="D721" s="50"/>
      <c r="E721" s="51"/>
      <c r="F721" s="52"/>
      <c r="G721" s="53"/>
      <c r="H721" s="53"/>
    </row>
    <row r="722" spans="3:8" x14ac:dyDescent="0.15">
      <c r="C722" s="49"/>
      <c r="D722" s="50"/>
      <c r="E722" s="51"/>
      <c r="F722" s="52"/>
      <c r="G722" s="53"/>
      <c r="H722" s="53"/>
    </row>
    <row r="723" spans="3:8" x14ac:dyDescent="0.15">
      <c r="C723" s="49"/>
      <c r="D723" s="50"/>
      <c r="E723" s="51"/>
      <c r="F723" s="52"/>
      <c r="G723" s="53"/>
      <c r="H723" s="53"/>
    </row>
    <row r="724" spans="3:8" x14ac:dyDescent="0.15">
      <c r="C724" s="49"/>
      <c r="D724" s="50"/>
      <c r="E724" s="51"/>
      <c r="F724" s="52"/>
      <c r="G724" s="53"/>
      <c r="H724" s="53"/>
    </row>
    <row r="725" spans="3:8" x14ac:dyDescent="0.15">
      <c r="C725" s="49"/>
      <c r="D725" s="50"/>
      <c r="E725" s="51"/>
      <c r="F725" s="52"/>
      <c r="G725" s="53"/>
      <c r="H725" s="53"/>
    </row>
    <row r="726" spans="3:8" x14ac:dyDescent="0.15">
      <c r="C726" s="49"/>
      <c r="D726" s="50"/>
      <c r="E726" s="51"/>
      <c r="F726" s="52"/>
      <c r="G726" s="53"/>
      <c r="H726" s="53"/>
    </row>
    <row r="727" spans="3:8" x14ac:dyDescent="0.15">
      <c r="C727" s="49"/>
      <c r="D727" s="50"/>
      <c r="E727" s="51"/>
      <c r="F727" s="52"/>
      <c r="G727" s="53"/>
      <c r="H727" s="53"/>
    </row>
    <row r="728" spans="3:8" x14ac:dyDescent="0.15">
      <c r="C728" s="49"/>
      <c r="D728" s="50"/>
      <c r="E728" s="51"/>
      <c r="F728" s="52"/>
      <c r="G728" s="53"/>
      <c r="H728" s="53"/>
    </row>
    <row r="729" spans="3:8" x14ac:dyDescent="0.15">
      <c r="C729" s="49"/>
      <c r="D729" s="50"/>
      <c r="E729" s="51"/>
      <c r="F729" s="52"/>
      <c r="G729" s="53"/>
      <c r="H729" s="53"/>
    </row>
    <row r="730" spans="3:8" x14ac:dyDescent="0.15">
      <c r="C730" s="49"/>
      <c r="D730" s="50"/>
      <c r="E730" s="51"/>
      <c r="F730" s="52"/>
      <c r="G730" s="53"/>
      <c r="H730" s="53"/>
    </row>
    <row r="731" spans="3:8" x14ac:dyDescent="0.15">
      <c r="C731" s="49"/>
      <c r="D731" s="50"/>
      <c r="E731" s="51"/>
      <c r="F731" s="52"/>
      <c r="G731" s="53"/>
      <c r="H731" s="53"/>
    </row>
    <row r="732" spans="3:8" x14ac:dyDescent="0.15">
      <c r="C732" s="49"/>
      <c r="D732" s="50"/>
      <c r="E732" s="51"/>
      <c r="F732" s="52"/>
      <c r="G732" s="53"/>
      <c r="H732" s="53"/>
    </row>
    <row r="733" spans="3:8" x14ac:dyDescent="0.15">
      <c r="C733" s="49"/>
      <c r="D733" s="50"/>
      <c r="E733" s="51"/>
      <c r="F733" s="52"/>
      <c r="G733" s="53"/>
      <c r="H733" s="53"/>
    </row>
    <row r="734" spans="3:8" x14ac:dyDescent="0.15">
      <c r="C734" s="49"/>
      <c r="D734" s="50"/>
      <c r="E734" s="51"/>
      <c r="F734" s="52"/>
      <c r="G734" s="53"/>
      <c r="H734" s="53"/>
    </row>
    <row r="735" spans="3:8" x14ac:dyDescent="0.15">
      <c r="C735" s="49"/>
      <c r="D735" s="50"/>
      <c r="E735" s="51"/>
      <c r="F735" s="52"/>
      <c r="G735" s="53"/>
      <c r="H735" s="53"/>
    </row>
    <row r="736" spans="3:8" x14ac:dyDescent="0.15">
      <c r="C736" s="49"/>
      <c r="D736" s="50"/>
      <c r="E736" s="51"/>
      <c r="F736" s="52"/>
      <c r="G736" s="53"/>
      <c r="H736" s="53"/>
    </row>
    <row r="737" spans="3:8" x14ac:dyDescent="0.15">
      <c r="C737" s="49"/>
      <c r="D737" s="50"/>
      <c r="E737" s="51"/>
      <c r="F737" s="52"/>
      <c r="G737" s="53"/>
      <c r="H737" s="53"/>
    </row>
    <row r="738" spans="3:8" x14ac:dyDescent="0.15">
      <c r="C738" s="49"/>
      <c r="D738" s="50"/>
      <c r="E738" s="51"/>
      <c r="F738" s="52"/>
      <c r="G738" s="53"/>
      <c r="H738" s="53"/>
    </row>
    <row r="739" spans="3:8" x14ac:dyDescent="0.15">
      <c r="C739" s="49"/>
      <c r="D739" s="50"/>
      <c r="E739" s="51"/>
      <c r="F739" s="52"/>
      <c r="G739" s="53"/>
      <c r="H739" s="53"/>
    </row>
    <row r="740" spans="3:8" x14ac:dyDescent="0.15">
      <c r="C740" s="49"/>
      <c r="D740" s="50"/>
      <c r="E740" s="51"/>
      <c r="F740" s="52"/>
      <c r="G740" s="53"/>
      <c r="H740" s="53"/>
    </row>
    <row r="741" spans="3:8" x14ac:dyDescent="0.15">
      <c r="C741" s="49"/>
      <c r="D741" s="50"/>
      <c r="E741" s="51"/>
      <c r="F741" s="52"/>
      <c r="G741" s="53"/>
      <c r="H741" s="53"/>
    </row>
    <row r="742" spans="3:8" x14ac:dyDescent="0.15">
      <c r="C742" s="49"/>
      <c r="D742" s="50"/>
      <c r="E742" s="51"/>
      <c r="F742" s="52"/>
      <c r="G742" s="53"/>
      <c r="H742" s="53"/>
    </row>
    <row r="743" spans="3:8" x14ac:dyDescent="0.15">
      <c r="C743" s="49"/>
      <c r="D743" s="50"/>
      <c r="E743" s="51"/>
      <c r="F743" s="52"/>
      <c r="G743" s="53"/>
      <c r="H743" s="53"/>
    </row>
    <row r="744" spans="3:8" x14ac:dyDescent="0.15">
      <c r="C744" s="49"/>
      <c r="D744" s="50"/>
      <c r="E744" s="51"/>
      <c r="F744" s="52"/>
      <c r="G744" s="53"/>
      <c r="H744" s="53"/>
    </row>
    <row r="745" spans="3:8" x14ac:dyDescent="0.15">
      <c r="C745" s="49"/>
      <c r="D745" s="50"/>
      <c r="E745" s="51"/>
      <c r="F745" s="52"/>
      <c r="G745" s="53"/>
      <c r="H745" s="53"/>
    </row>
    <row r="746" spans="3:8" x14ac:dyDescent="0.15">
      <c r="C746" s="49"/>
      <c r="D746" s="50"/>
      <c r="E746" s="51"/>
      <c r="F746" s="52"/>
      <c r="G746" s="53"/>
      <c r="H746" s="53"/>
    </row>
    <row r="747" spans="3:8" x14ac:dyDescent="0.15">
      <c r="C747" s="49"/>
      <c r="D747" s="50"/>
      <c r="E747" s="51"/>
      <c r="F747" s="52"/>
      <c r="G747" s="53"/>
      <c r="H747" s="53"/>
    </row>
    <row r="748" spans="3:8" x14ac:dyDescent="0.15">
      <c r="C748" s="49"/>
      <c r="D748" s="50"/>
      <c r="E748" s="51"/>
      <c r="F748" s="52"/>
      <c r="G748" s="53"/>
      <c r="H748" s="53"/>
    </row>
    <row r="749" spans="3:8" x14ac:dyDescent="0.15">
      <c r="C749" s="49"/>
      <c r="D749" s="50"/>
      <c r="E749" s="51"/>
      <c r="F749" s="52"/>
      <c r="G749" s="53"/>
      <c r="H749" s="53"/>
    </row>
    <row r="750" spans="3:8" x14ac:dyDescent="0.15">
      <c r="C750" s="49"/>
      <c r="D750" s="50"/>
      <c r="E750" s="51"/>
      <c r="F750" s="52"/>
      <c r="G750" s="53"/>
      <c r="H750" s="53"/>
    </row>
    <row r="751" spans="3:8" x14ac:dyDescent="0.15">
      <c r="C751" s="49"/>
      <c r="D751" s="50"/>
      <c r="E751" s="51"/>
      <c r="F751" s="52"/>
      <c r="G751" s="53"/>
      <c r="H751" s="53"/>
    </row>
    <row r="752" spans="3:8" x14ac:dyDescent="0.15">
      <c r="C752" s="49"/>
      <c r="D752" s="50"/>
      <c r="E752" s="51"/>
      <c r="F752" s="52"/>
      <c r="G752" s="53"/>
      <c r="H752" s="53"/>
    </row>
    <row r="753" spans="3:8" x14ac:dyDescent="0.15">
      <c r="C753" s="49"/>
      <c r="D753" s="50"/>
      <c r="E753" s="51"/>
      <c r="F753" s="52"/>
      <c r="G753" s="53"/>
      <c r="H753" s="53"/>
    </row>
    <row r="754" spans="3:8" x14ac:dyDescent="0.15">
      <c r="C754" s="49"/>
      <c r="D754" s="50"/>
      <c r="E754" s="51"/>
      <c r="F754" s="52"/>
      <c r="G754" s="53"/>
      <c r="H754" s="53"/>
    </row>
    <row r="755" spans="3:8" x14ac:dyDescent="0.15">
      <c r="C755" s="49"/>
      <c r="D755" s="50"/>
      <c r="E755" s="51"/>
      <c r="F755" s="52"/>
      <c r="G755" s="53"/>
      <c r="H755" s="53"/>
    </row>
    <row r="756" spans="3:8" x14ac:dyDescent="0.15">
      <c r="C756" s="49"/>
      <c r="D756" s="50"/>
      <c r="E756" s="51"/>
      <c r="F756" s="52"/>
      <c r="G756" s="53"/>
      <c r="H756" s="53"/>
    </row>
    <row r="757" spans="3:8" x14ac:dyDescent="0.15">
      <c r="C757" s="49"/>
      <c r="D757" s="50"/>
      <c r="E757" s="51"/>
      <c r="F757" s="52"/>
      <c r="G757" s="53"/>
      <c r="H757" s="53"/>
    </row>
    <row r="758" spans="3:8" x14ac:dyDescent="0.15">
      <c r="C758" s="49"/>
      <c r="D758" s="50"/>
      <c r="E758" s="51"/>
      <c r="F758" s="52"/>
      <c r="G758" s="53"/>
      <c r="H758" s="53"/>
    </row>
    <row r="759" spans="3:8" x14ac:dyDescent="0.15">
      <c r="C759" s="49"/>
      <c r="D759" s="50"/>
      <c r="E759" s="51"/>
      <c r="F759" s="52"/>
      <c r="G759" s="53"/>
      <c r="H759" s="53"/>
    </row>
    <row r="760" spans="3:8" x14ac:dyDescent="0.15">
      <c r="C760" s="49"/>
      <c r="D760" s="50"/>
      <c r="E760" s="51"/>
      <c r="F760" s="52"/>
      <c r="G760" s="53"/>
      <c r="H760" s="53"/>
    </row>
    <row r="761" spans="3:8" x14ac:dyDescent="0.15">
      <c r="C761" s="49"/>
      <c r="D761" s="50"/>
      <c r="E761" s="51"/>
      <c r="F761" s="52"/>
      <c r="G761" s="53"/>
      <c r="H761" s="53"/>
    </row>
    <row r="762" spans="3:8" x14ac:dyDescent="0.15">
      <c r="C762" s="49"/>
      <c r="D762" s="50"/>
      <c r="E762" s="51"/>
      <c r="F762" s="52"/>
      <c r="G762" s="53"/>
      <c r="H762" s="53"/>
    </row>
    <row r="763" spans="3:8" x14ac:dyDescent="0.15">
      <c r="C763" s="49"/>
      <c r="D763" s="50"/>
      <c r="E763" s="51"/>
      <c r="F763" s="52"/>
      <c r="G763" s="53"/>
      <c r="H763" s="53"/>
    </row>
    <row r="764" spans="3:8" x14ac:dyDescent="0.15">
      <c r="C764" s="49"/>
      <c r="D764" s="50"/>
      <c r="E764" s="51"/>
      <c r="F764" s="52"/>
      <c r="G764" s="53"/>
      <c r="H764" s="53"/>
    </row>
    <row r="765" spans="3:8" x14ac:dyDescent="0.15">
      <c r="C765" s="49"/>
      <c r="D765" s="50"/>
      <c r="E765" s="51"/>
      <c r="F765" s="52"/>
      <c r="G765" s="53"/>
      <c r="H765" s="53"/>
    </row>
    <row r="766" spans="3:8" x14ac:dyDescent="0.15">
      <c r="C766" s="49"/>
      <c r="D766" s="50"/>
      <c r="E766" s="51"/>
      <c r="F766" s="52"/>
      <c r="G766" s="53"/>
      <c r="H766" s="53"/>
    </row>
    <row r="767" spans="3:8" x14ac:dyDescent="0.15">
      <c r="C767" s="49"/>
      <c r="D767" s="50"/>
      <c r="E767" s="51"/>
      <c r="F767" s="52"/>
      <c r="G767" s="53"/>
      <c r="H767" s="53"/>
    </row>
    <row r="768" spans="3:8" x14ac:dyDescent="0.15">
      <c r="C768" s="49"/>
      <c r="D768" s="50"/>
      <c r="E768" s="51"/>
      <c r="F768" s="52"/>
      <c r="G768" s="53"/>
      <c r="H768" s="53"/>
    </row>
    <row r="769" spans="3:8" x14ac:dyDescent="0.15">
      <c r="C769" s="49"/>
      <c r="D769" s="50"/>
      <c r="E769" s="51"/>
      <c r="F769" s="52"/>
      <c r="G769" s="53"/>
      <c r="H769" s="53"/>
    </row>
    <row r="770" spans="3:8" x14ac:dyDescent="0.15">
      <c r="C770" s="49"/>
      <c r="D770" s="50"/>
      <c r="E770" s="51"/>
      <c r="F770" s="52"/>
      <c r="G770" s="53"/>
      <c r="H770" s="53"/>
    </row>
    <row r="771" spans="3:8" x14ac:dyDescent="0.15">
      <c r="C771" s="49"/>
      <c r="D771" s="50"/>
      <c r="E771" s="51"/>
      <c r="F771" s="52"/>
      <c r="G771" s="53"/>
      <c r="H771" s="53"/>
    </row>
    <row r="772" spans="3:8" x14ac:dyDescent="0.15">
      <c r="C772" s="49"/>
      <c r="D772" s="50"/>
      <c r="E772" s="51"/>
      <c r="F772" s="52"/>
      <c r="G772" s="53"/>
      <c r="H772" s="53"/>
    </row>
    <row r="773" spans="3:8" x14ac:dyDescent="0.15">
      <c r="C773" s="49"/>
      <c r="D773" s="50"/>
      <c r="E773" s="51"/>
      <c r="F773" s="52"/>
      <c r="G773" s="53"/>
      <c r="H773" s="53"/>
    </row>
    <row r="774" spans="3:8" x14ac:dyDescent="0.15">
      <c r="C774" s="49"/>
      <c r="D774" s="50"/>
      <c r="E774" s="51"/>
      <c r="F774" s="52"/>
      <c r="G774" s="53"/>
      <c r="H774" s="53"/>
    </row>
    <row r="775" spans="3:8" x14ac:dyDescent="0.15">
      <c r="C775" s="49"/>
      <c r="D775" s="50"/>
      <c r="E775" s="51"/>
      <c r="F775" s="52"/>
      <c r="G775" s="53"/>
      <c r="H775" s="53"/>
    </row>
    <row r="776" spans="3:8" x14ac:dyDescent="0.15">
      <c r="C776" s="49"/>
      <c r="D776" s="50"/>
      <c r="E776" s="51"/>
      <c r="F776" s="52"/>
      <c r="G776" s="53"/>
      <c r="H776" s="53"/>
    </row>
    <row r="777" spans="3:8" x14ac:dyDescent="0.15">
      <c r="C777" s="49"/>
      <c r="D777" s="50"/>
      <c r="E777" s="51"/>
      <c r="F777" s="52"/>
      <c r="G777" s="53"/>
      <c r="H777" s="53"/>
    </row>
    <row r="778" spans="3:8" x14ac:dyDescent="0.15">
      <c r="C778" s="49"/>
      <c r="D778" s="50"/>
      <c r="E778" s="51"/>
      <c r="F778" s="52"/>
      <c r="G778" s="53"/>
      <c r="H778" s="53"/>
    </row>
    <row r="779" spans="3:8" x14ac:dyDescent="0.15">
      <c r="C779" s="49"/>
      <c r="D779" s="50"/>
      <c r="E779" s="51"/>
      <c r="F779" s="52"/>
      <c r="G779" s="53"/>
      <c r="H779" s="53"/>
    </row>
    <row r="780" spans="3:8" x14ac:dyDescent="0.15">
      <c r="C780" s="49"/>
      <c r="D780" s="50"/>
      <c r="E780" s="51"/>
      <c r="F780" s="52"/>
      <c r="G780" s="53"/>
      <c r="H780" s="53"/>
    </row>
    <row r="781" spans="3:8" x14ac:dyDescent="0.15">
      <c r="C781" s="49"/>
      <c r="D781" s="50"/>
      <c r="E781" s="51"/>
      <c r="F781" s="52"/>
      <c r="G781" s="53"/>
      <c r="H781" s="53"/>
    </row>
    <row r="782" spans="3:8" x14ac:dyDescent="0.15">
      <c r="C782" s="49"/>
      <c r="D782" s="50"/>
      <c r="E782" s="51"/>
      <c r="F782" s="52"/>
      <c r="G782" s="53"/>
      <c r="H782" s="53"/>
    </row>
    <row r="783" spans="3:8" x14ac:dyDescent="0.15">
      <c r="C783" s="49"/>
      <c r="D783" s="50"/>
      <c r="E783" s="51"/>
      <c r="F783" s="52"/>
      <c r="G783" s="53"/>
      <c r="H783" s="53"/>
    </row>
    <row r="784" spans="3:8" x14ac:dyDescent="0.15">
      <c r="C784" s="49"/>
      <c r="D784" s="50"/>
      <c r="E784" s="51"/>
      <c r="F784" s="52"/>
      <c r="G784" s="53"/>
      <c r="H784" s="53"/>
    </row>
    <row r="785" spans="3:8" x14ac:dyDescent="0.15">
      <c r="C785" s="49"/>
      <c r="D785" s="50"/>
      <c r="E785" s="51"/>
      <c r="F785" s="52"/>
      <c r="G785" s="53"/>
      <c r="H785" s="53"/>
    </row>
    <row r="786" spans="3:8" x14ac:dyDescent="0.15">
      <c r="C786" s="49"/>
      <c r="D786" s="50"/>
      <c r="E786" s="51"/>
      <c r="F786" s="52"/>
      <c r="G786" s="53"/>
      <c r="H786" s="53"/>
    </row>
    <row r="787" spans="3:8" x14ac:dyDescent="0.15">
      <c r="C787" s="49"/>
      <c r="D787" s="50"/>
      <c r="E787" s="51"/>
      <c r="F787" s="52"/>
      <c r="G787" s="53"/>
      <c r="H787" s="53"/>
    </row>
    <row r="788" spans="3:8" x14ac:dyDescent="0.15">
      <c r="C788" s="49"/>
      <c r="D788" s="50"/>
      <c r="E788" s="51"/>
      <c r="F788" s="52"/>
      <c r="G788" s="53"/>
      <c r="H788" s="53"/>
    </row>
    <row r="789" spans="3:8" x14ac:dyDescent="0.15">
      <c r="C789" s="49"/>
      <c r="D789" s="50"/>
      <c r="E789" s="51"/>
      <c r="F789" s="52"/>
      <c r="G789" s="53"/>
      <c r="H789" s="53"/>
    </row>
    <row r="790" spans="3:8" x14ac:dyDescent="0.15">
      <c r="C790" s="49"/>
      <c r="D790" s="50"/>
      <c r="E790" s="51"/>
      <c r="F790" s="52"/>
      <c r="G790" s="53"/>
      <c r="H790" s="53"/>
    </row>
    <row r="791" spans="3:8" x14ac:dyDescent="0.15">
      <c r="C791" s="49"/>
      <c r="D791" s="50"/>
      <c r="E791" s="51"/>
      <c r="F791" s="52"/>
      <c r="G791" s="53"/>
      <c r="H791" s="53"/>
    </row>
    <row r="792" spans="3:8" x14ac:dyDescent="0.15">
      <c r="C792" s="49"/>
      <c r="D792" s="50"/>
      <c r="E792" s="51"/>
      <c r="F792" s="52"/>
      <c r="G792" s="53"/>
      <c r="H792" s="53"/>
    </row>
    <row r="793" spans="3:8" x14ac:dyDescent="0.15">
      <c r="C793" s="49"/>
      <c r="D793" s="50"/>
      <c r="E793" s="51"/>
      <c r="F793" s="52"/>
      <c r="G793" s="53"/>
      <c r="H793" s="53"/>
    </row>
    <row r="794" spans="3:8" x14ac:dyDescent="0.15">
      <c r="C794" s="49"/>
      <c r="D794" s="50"/>
      <c r="E794" s="51"/>
      <c r="F794" s="52"/>
      <c r="G794" s="53"/>
      <c r="H794" s="53"/>
    </row>
    <row r="795" spans="3:8" x14ac:dyDescent="0.15">
      <c r="C795" s="49"/>
      <c r="D795" s="50"/>
      <c r="E795" s="51"/>
      <c r="F795" s="52"/>
      <c r="G795" s="53"/>
      <c r="H795" s="53"/>
    </row>
    <row r="796" spans="3:8" x14ac:dyDescent="0.15">
      <c r="C796" s="49"/>
      <c r="D796" s="50"/>
      <c r="E796" s="51"/>
      <c r="F796" s="52"/>
      <c r="G796" s="53"/>
      <c r="H796" s="53"/>
    </row>
    <row r="797" spans="3:8" x14ac:dyDescent="0.15">
      <c r="C797" s="49"/>
      <c r="D797" s="50"/>
      <c r="E797" s="51"/>
      <c r="F797" s="52"/>
      <c r="G797" s="53"/>
      <c r="H797" s="53"/>
    </row>
    <row r="798" spans="3:8" x14ac:dyDescent="0.15">
      <c r="C798" s="49"/>
      <c r="D798" s="50"/>
      <c r="E798" s="51"/>
      <c r="F798" s="52"/>
      <c r="G798" s="53"/>
      <c r="H798" s="53"/>
    </row>
    <row r="799" spans="3:8" x14ac:dyDescent="0.15">
      <c r="C799" s="49"/>
      <c r="D799" s="50"/>
      <c r="E799" s="51"/>
      <c r="F799" s="52"/>
      <c r="G799" s="53"/>
      <c r="H799" s="53"/>
    </row>
    <row r="800" spans="3:8" x14ac:dyDescent="0.15">
      <c r="C800" s="49"/>
      <c r="D800" s="50"/>
      <c r="E800" s="51"/>
      <c r="F800" s="52"/>
      <c r="G800" s="53"/>
      <c r="H800" s="53"/>
    </row>
    <row r="801" spans="3:8" x14ac:dyDescent="0.15">
      <c r="C801" s="49"/>
      <c r="D801" s="50"/>
      <c r="E801" s="51"/>
      <c r="F801" s="52"/>
      <c r="G801" s="53"/>
      <c r="H801" s="53"/>
    </row>
    <row r="802" spans="3:8" x14ac:dyDescent="0.15">
      <c r="C802" s="49"/>
      <c r="D802" s="50"/>
      <c r="E802" s="51"/>
      <c r="F802" s="52"/>
      <c r="G802" s="53"/>
      <c r="H802" s="53"/>
    </row>
    <row r="803" spans="3:8" x14ac:dyDescent="0.15">
      <c r="C803" s="49"/>
      <c r="D803" s="50"/>
      <c r="E803" s="51"/>
      <c r="F803" s="52"/>
      <c r="G803" s="53"/>
      <c r="H803" s="53"/>
    </row>
    <row r="804" spans="3:8" x14ac:dyDescent="0.15">
      <c r="C804" s="49"/>
      <c r="D804" s="50"/>
      <c r="E804" s="51"/>
      <c r="F804" s="52"/>
      <c r="G804" s="53"/>
      <c r="H804" s="53"/>
    </row>
    <row r="805" spans="3:8" x14ac:dyDescent="0.15">
      <c r="C805" s="49"/>
      <c r="D805" s="50"/>
      <c r="E805" s="51"/>
      <c r="F805" s="52"/>
      <c r="G805" s="53"/>
      <c r="H805" s="53"/>
    </row>
    <row r="806" spans="3:8" x14ac:dyDescent="0.15">
      <c r="C806" s="49"/>
      <c r="D806" s="50"/>
      <c r="E806" s="51"/>
      <c r="F806" s="52"/>
      <c r="G806" s="53"/>
      <c r="H806" s="53"/>
    </row>
    <row r="807" spans="3:8" x14ac:dyDescent="0.15">
      <c r="C807" s="49"/>
      <c r="D807" s="50"/>
      <c r="E807" s="51"/>
      <c r="F807" s="52"/>
      <c r="G807" s="53"/>
      <c r="H807" s="53"/>
    </row>
    <row r="808" spans="3:8" x14ac:dyDescent="0.15">
      <c r="C808" s="49"/>
      <c r="D808" s="50"/>
      <c r="E808" s="51"/>
      <c r="F808" s="52"/>
      <c r="G808" s="53"/>
      <c r="H808" s="53"/>
    </row>
    <row r="809" spans="3:8" x14ac:dyDescent="0.15">
      <c r="C809" s="49"/>
      <c r="D809" s="50"/>
      <c r="E809" s="51"/>
      <c r="F809" s="52"/>
      <c r="G809" s="53"/>
      <c r="H809" s="53"/>
    </row>
    <row r="810" spans="3:8" x14ac:dyDescent="0.15">
      <c r="C810" s="49"/>
      <c r="D810" s="50"/>
      <c r="E810" s="51"/>
      <c r="F810" s="52"/>
      <c r="G810" s="53"/>
      <c r="H810" s="53"/>
    </row>
    <row r="811" spans="3:8" x14ac:dyDescent="0.15">
      <c r="C811" s="49"/>
      <c r="D811" s="50"/>
      <c r="E811" s="51"/>
      <c r="F811" s="52"/>
      <c r="G811" s="53"/>
      <c r="H811" s="53"/>
    </row>
    <row r="812" spans="3:8" x14ac:dyDescent="0.15">
      <c r="C812" s="49"/>
      <c r="D812" s="50"/>
      <c r="E812" s="51"/>
      <c r="F812" s="52"/>
      <c r="G812" s="53"/>
      <c r="H812" s="53"/>
    </row>
    <row r="813" spans="3:8" x14ac:dyDescent="0.15">
      <c r="C813" s="49"/>
      <c r="D813" s="50"/>
      <c r="E813" s="51"/>
      <c r="F813" s="52"/>
      <c r="G813" s="53"/>
      <c r="H813" s="53"/>
    </row>
    <row r="814" spans="3:8" x14ac:dyDescent="0.15">
      <c r="C814" s="49"/>
      <c r="D814" s="50"/>
      <c r="E814" s="51"/>
      <c r="F814" s="52"/>
      <c r="G814" s="53"/>
      <c r="H814" s="53"/>
    </row>
    <row r="815" spans="3:8" x14ac:dyDescent="0.15">
      <c r="C815" s="49"/>
      <c r="D815" s="50"/>
      <c r="E815" s="51"/>
      <c r="F815" s="52"/>
      <c r="G815" s="53"/>
      <c r="H815" s="53"/>
    </row>
    <row r="816" spans="3:8" x14ac:dyDescent="0.15">
      <c r="C816" s="49"/>
      <c r="D816" s="50"/>
      <c r="E816" s="51"/>
      <c r="F816" s="52"/>
      <c r="G816" s="53"/>
      <c r="H816" s="53"/>
    </row>
    <row r="817" spans="3:8" x14ac:dyDescent="0.15">
      <c r="C817" s="49"/>
      <c r="D817" s="50"/>
      <c r="E817" s="51"/>
      <c r="F817" s="52"/>
      <c r="G817" s="53"/>
      <c r="H817" s="53"/>
    </row>
    <row r="818" spans="3:8" x14ac:dyDescent="0.15">
      <c r="C818" s="49"/>
      <c r="D818" s="50"/>
      <c r="E818" s="51"/>
      <c r="F818" s="52"/>
      <c r="G818" s="53"/>
      <c r="H818" s="53"/>
    </row>
    <row r="819" spans="3:8" x14ac:dyDescent="0.15">
      <c r="C819" s="49"/>
      <c r="D819" s="50"/>
      <c r="E819" s="51"/>
      <c r="F819" s="52"/>
      <c r="G819" s="53"/>
      <c r="H819" s="53"/>
    </row>
    <row r="820" spans="3:8" x14ac:dyDescent="0.15">
      <c r="C820" s="49"/>
      <c r="D820" s="50"/>
      <c r="E820" s="51"/>
      <c r="F820" s="52"/>
      <c r="G820" s="53"/>
      <c r="H820" s="53"/>
    </row>
    <row r="821" spans="3:8" x14ac:dyDescent="0.15">
      <c r="C821" s="49"/>
      <c r="D821" s="50"/>
      <c r="E821" s="51"/>
      <c r="F821" s="52"/>
      <c r="G821" s="53"/>
      <c r="H821" s="53"/>
    </row>
    <row r="822" spans="3:8" x14ac:dyDescent="0.15">
      <c r="C822" s="49"/>
      <c r="D822" s="50"/>
      <c r="E822" s="51"/>
      <c r="F822" s="52"/>
      <c r="G822" s="53"/>
      <c r="H822" s="53"/>
    </row>
    <row r="823" spans="3:8" x14ac:dyDescent="0.15">
      <c r="C823" s="49"/>
      <c r="D823" s="50"/>
      <c r="E823" s="51"/>
      <c r="F823" s="52"/>
      <c r="G823" s="53"/>
      <c r="H823" s="53"/>
    </row>
    <row r="824" spans="3:8" x14ac:dyDescent="0.15">
      <c r="C824" s="49"/>
      <c r="D824" s="50"/>
      <c r="E824" s="51"/>
      <c r="F824" s="52"/>
      <c r="G824" s="53"/>
      <c r="H824" s="53"/>
    </row>
    <row r="825" spans="3:8" x14ac:dyDescent="0.15">
      <c r="C825" s="49"/>
      <c r="D825" s="50"/>
      <c r="E825" s="51"/>
      <c r="F825" s="52"/>
      <c r="G825" s="53"/>
      <c r="H825" s="53"/>
    </row>
    <row r="826" spans="3:8" x14ac:dyDescent="0.15">
      <c r="C826" s="49"/>
      <c r="D826" s="50"/>
      <c r="E826" s="51"/>
      <c r="F826" s="52"/>
      <c r="G826" s="53"/>
      <c r="H826" s="53"/>
    </row>
    <row r="827" spans="3:8" x14ac:dyDescent="0.15">
      <c r="C827" s="49"/>
      <c r="D827" s="50"/>
      <c r="E827" s="51"/>
      <c r="F827" s="52"/>
      <c r="G827" s="53"/>
      <c r="H827" s="53"/>
    </row>
    <row r="828" spans="3:8" x14ac:dyDescent="0.15">
      <c r="C828" s="49"/>
      <c r="D828" s="50"/>
      <c r="E828" s="51"/>
      <c r="F828" s="52"/>
      <c r="G828" s="53"/>
      <c r="H828" s="53"/>
    </row>
    <row r="829" spans="3:8" x14ac:dyDescent="0.15">
      <c r="C829" s="49"/>
      <c r="D829" s="50"/>
      <c r="E829" s="51"/>
      <c r="F829" s="52"/>
      <c r="G829" s="53"/>
      <c r="H829" s="53"/>
    </row>
    <row r="830" spans="3:8" x14ac:dyDescent="0.15">
      <c r="C830" s="49"/>
      <c r="D830" s="50"/>
      <c r="E830" s="51"/>
      <c r="F830" s="52"/>
      <c r="G830" s="53"/>
      <c r="H830" s="53"/>
    </row>
    <row r="831" spans="3:8" x14ac:dyDescent="0.15">
      <c r="C831" s="49"/>
      <c r="D831" s="50"/>
      <c r="E831" s="51"/>
      <c r="F831" s="52"/>
      <c r="G831" s="53"/>
      <c r="H831" s="53"/>
    </row>
    <row r="832" spans="3:8" x14ac:dyDescent="0.15">
      <c r="C832" s="49"/>
      <c r="D832" s="50"/>
      <c r="E832" s="51"/>
      <c r="F832" s="52"/>
      <c r="G832" s="53"/>
      <c r="H832" s="53"/>
    </row>
    <row r="833" spans="3:9" x14ac:dyDescent="0.15">
      <c r="C833" s="49"/>
      <c r="D833" s="50"/>
      <c r="E833" s="51"/>
      <c r="F833" s="52"/>
      <c r="G833" s="53"/>
      <c r="H833" s="53"/>
    </row>
    <row r="834" spans="3:9" x14ac:dyDescent="0.15">
      <c r="C834" s="49"/>
      <c r="D834" s="50"/>
      <c r="E834" s="51"/>
      <c r="F834" s="52"/>
      <c r="G834" s="53"/>
      <c r="H834" s="53"/>
    </row>
    <row r="835" spans="3:9" x14ac:dyDescent="0.15">
      <c r="C835" s="49"/>
      <c r="D835" s="50"/>
      <c r="E835" s="51"/>
      <c r="F835" s="52"/>
      <c r="G835" s="53"/>
      <c r="H835" s="53"/>
    </row>
    <row r="836" spans="3:9" x14ac:dyDescent="0.15">
      <c r="C836" s="49"/>
      <c r="D836" s="50"/>
      <c r="E836" s="51"/>
      <c r="F836" s="52"/>
      <c r="G836" s="53"/>
      <c r="H836" s="53"/>
    </row>
    <row r="837" spans="3:9" x14ac:dyDescent="0.15">
      <c r="C837" s="49"/>
      <c r="D837" s="50"/>
      <c r="E837" s="51"/>
      <c r="F837" s="52"/>
      <c r="G837" s="53"/>
      <c r="H837" s="53"/>
    </row>
    <row r="838" spans="3:9" x14ac:dyDescent="0.15">
      <c r="C838" s="49"/>
      <c r="D838" s="50"/>
      <c r="E838" s="51"/>
      <c r="F838" s="52"/>
      <c r="G838" s="53"/>
      <c r="H838" s="53"/>
    </row>
    <row r="839" spans="3:9" x14ac:dyDescent="0.15">
      <c r="C839" s="49"/>
      <c r="D839" s="50"/>
      <c r="E839" s="51"/>
      <c r="F839" s="52"/>
      <c r="G839" s="53"/>
      <c r="H839" s="53"/>
    </row>
    <row r="840" spans="3:9" x14ac:dyDescent="0.15">
      <c r="C840" s="49"/>
      <c r="D840" s="50"/>
      <c r="E840" s="51"/>
      <c r="F840" s="52"/>
      <c r="G840" s="53"/>
      <c r="H840" s="53"/>
    </row>
    <row r="841" spans="3:9" x14ac:dyDescent="0.15">
      <c r="C841" s="49"/>
      <c r="D841" s="50"/>
      <c r="E841" s="51"/>
      <c r="F841" s="52"/>
      <c r="G841" s="53"/>
      <c r="H841" s="53"/>
    </row>
    <row r="842" spans="3:9" x14ac:dyDescent="0.15">
      <c r="C842" s="49"/>
      <c r="D842" s="50"/>
      <c r="E842" s="51"/>
      <c r="F842" s="52"/>
      <c r="G842" s="53"/>
      <c r="H842" s="53"/>
    </row>
    <row r="843" spans="3:9" x14ac:dyDescent="0.15">
      <c r="C843" s="49"/>
      <c r="D843" s="50"/>
      <c r="E843" s="51"/>
      <c r="F843" s="52"/>
      <c r="G843" s="53"/>
      <c r="H843" s="53"/>
    </row>
    <row r="844" spans="3:9" x14ac:dyDescent="0.15">
      <c r="C844" s="53"/>
      <c r="D844" s="50"/>
      <c r="E844" s="51"/>
      <c r="F844" s="52"/>
      <c r="G844" s="50"/>
      <c r="H844" s="50"/>
      <c r="I844" s="5"/>
    </row>
    <row r="845" spans="3:9" x14ac:dyDescent="0.15">
      <c r="C845" s="53"/>
      <c r="D845" s="50"/>
      <c r="E845" s="51"/>
      <c r="F845" s="52"/>
      <c r="G845" s="50"/>
      <c r="H845" s="50"/>
      <c r="I845" s="5"/>
    </row>
    <row r="846" spans="3:9" x14ac:dyDescent="0.15">
      <c r="C846" s="53"/>
      <c r="D846" s="50"/>
      <c r="E846" s="51"/>
      <c r="F846" s="52"/>
      <c r="G846" s="50"/>
      <c r="H846" s="50"/>
      <c r="I846" s="5"/>
    </row>
    <row r="847" spans="3:9" x14ac:dyDescent="0.15">
      <c r="C847" s="53"/>
      <c r="D847" s="50"/>
      <c r="E847" s="51"/>
      <c r="F847" s="52"/>
      <c r="G847" s="50"/>
      <c r="H847" s="50"/>
      <c r="I847" s="5"/>
    </row>
    <row r="848" spans="3:9" x14ac:dyDescent="0.15">
      <c r="C848" s="53"/>
      <c r="D848" s="50"/>
      <c r="E848" s="51"/>
      <c r="F848" s="52"/>
      <c r="G848" s="50"/>
      <c r="H848" s="50"/>
      <c r="I848" s="5"/>
    </row>
    <row r="849" spans="3:9" x14ac:dyDescent="0.15">
      <c r="C849" s="53"/>
      <c r="D849" s="50"/>
      <c r="E849" s="51"/>
      <c r="F849" s="52"/>
      <c r="G849" s="50"/>
      <c r="H849" s="50"/>
      <c r="I849" s="5"/>
    </row>
    <row r="850" spans="3:9" x14ac:dyDescent="0.15">
      <c r="C850" s="53"/>
      <c r="D850" s="50"/>
      <c r="E850" s="51"/>
      <c r="F850" s="52"/>
      <c r="G850" s="50"/>
      <c r="H850" s="50"/>
      <c r="I850" s="5"/>
    </row>
    <row r="851" spans="3:9" x14ac:dyDescent="0.15">
      <c r="C851" s="53"/>
      <c r="D851" s="50"/>
      <c r="E851" s="51"/>
      <c r="F851" s="52"/>
      <c r="G851" s="50"/>
      <c r="H851" s="50"/>
      <c r="I851" s="5"/>
    </row>
    <row r="852" spans="3:9" x14ac:dyDescent="0.15">
      <c r="C852" s="53"/>
      <c r="D852" s="50"/>
      <c r="E852" s="51"/>
      <c r="F852" s="52"/>
      <c r="G852" s="50"/>
      <c r="H852" s="50"/>
      <c r="I852" s="5"/>
    </row>
    <row r="853" spans="3:9" x14ac:dyDescent="0.15">
      <c r="C853" s="53"/>
      <c r="D853" s="50"/>
      <c r="E853" s="51"/>
      <c r="F853" s="52"/>
      <c r="G853" s="50"/>
      <c r="H853" s="50"/>
      <c r="I853" s="5"/>
    </row>
    <row r="854" spans="3:9" x14ac:dyDescent="0.15">
      <c r="C854" s="53"/>
      <c r="D854" s="50"/>
      <c r="E854" s="51"/>
      <c r="F854" s="52"/>
      <c r="G854" s="50"/>
      <c r="H854" s="50"/>
      <c r="I854" s="5"/>
    </row>
    <row r="855" spans="3:9" x14ac:dyDescent="0.15">
      <c r="C855" s="53"/>
      <c r="D855" s="50"/>
      <c r="E855" s="51"/>
      <c r="F855" s="52"/>
      <c r="G855" s="50"/>
      <c r="H855" s="50"/>
      <c r="I855" s="5"/>
    </row>
    <row r="856" spans="3:9" x14ac:dyDescent="0.15">
      <c r="C856" s="53"/>
      <c r="D856" s="50"/>
      <c r="E856" s="51"/>
      <c r="F856" s="52"/>
      <c r="G856" s="50"/>
      <c r="H856" s="50"/>
      <c r="I856" s="5"/>
    </row>
    <row r="857" spans="3:9" x14ac:dyDescent="0.15">
      <c r="C857" s="53"/>
      <c r="D857" s="50"/>
      <c r="E857" s="51"/>
      <c r="F857" s="52"/>
      <c r="G857" s="50"/>
      <c r="H857" s="50"/>
      <c r="I857" s="5"/>
    </row>
    <row r="858" spans="3:9" x14ac:dyDescent="0.15">
      <c r="C858" s="53"/>
      <c r="D858" s="50"/>
      <c r="E858" s="51"/>
      <c r="F858" s="52"/>
      <c r="G858" s="50"/>
      <c r="H858" s="50"/>
      <c r="I858" s="5"/>
    </row>
    <row r="859" spans="3:9" x14ac:dyDescent="0.15">
      <c r="C859" s="53"/>
      <c r="D859" s="50"/>
      <c r="E859" s="51"/>
      <c r="F859" s="52"/>
      <c r="G859" s="50"/>
      <c r="H859" s="50"/>
      <c r="I859" s="5"/>
    </row>
    <row r="860" spans="3:9" x14ac:dyDescent="0.15">
      <c r="C860" s="53"/>
      <c r="D860" s="50"/>
      <c r="E860" s="51"/>
      <c r="F860" s="52"/>
      <c r="G860" s="50"/>
      <c r="H860" s="50"/>
      <c r="I860" s="5"/>
    </row>
    <row r="861" spans="3:9" x14ac:dyDescent="0.15">
      <c r="C861" s="53"/>
      <c r="D861" s="50"/>
      <c r="E861" s="51"/>
      <c r="F861" s="52"/>
      <c r="G861" s="50"/>
      <c r="H861" s="50"/>
      <c r="I861" s="5"/>
    </row>
    <row r="862" spans="3:9" x14ac:dyDescent="0.15">
      <c r="C862" s="53"/>
      <c r="D862" s="50"/>
      <c r="E862" s="51"/>
      <c r="F862" s="52"/>
      <c r="G862" s="50"/>
      <c r="H862" s="50"/>
      <c r="I862" s="5"/>
    </row>
    <row r="863" spans="3:9" x14ac:dyDescent="0.15">
      <c r="C863" s="53"/>
      <c r="D863" s="50"/>
      <c r="E863" s="51"/>
      <c r="F863" s="52"/>
      <c r="G863" s="50"/>
      <c r="H863" s="50"/>
      <c r="I863" s="5"/>
    </row>
    <row r="864" spans="3:9" x14ac:dyDescent="0.15">
      <c r="C864" s="53"/>
      <c r="D864" s="50"/>
      <c r="E864" s="51"/>
      <c r="F864" s="52"/>
      <c r="G864" s="50"/>
      <c r="H864" s="50"/>
      <c r="I864" s="5"/>
    </row>
    <row r="865" spans="3:9" x14ac:dyDescent="0.15">
      <c r="C865" s="53"/>
      <c r="D865" s="50"/>
      <c r="E865" s="51"/>
      <c r="F865" s="52"/>
      <c r="G865" s="50"/>
      <c r="H865" s="50"/>
      <c r="I865" s="5"/>
    </row>
    <row r="866" spans="3:9" x14ac:dyDescent="0.15">
      <c r="C866" s="53"/>
      <c r="D866" s="50"/>
      <c r="E866" s="51"/>
      <c r="F866" s="52"/>
      <c r="G866" s="50"/>
      <c r="H866" s="50"/>
      <c r="I866" s="5"/>
    </row>
    <row r="867" spans="3:9" x14ac:dyDescent="0.15">
      <c r="C867" s="53"/>
      <c r="D867" s="50"/>
      <c r="E867" s="51"/>
      <c r="F867" s="52"/>
      <c r="G867" s="50"/>
      <c r="H867" s="50"/>
      <c r="I867" s="5"/>
    </row>
    <row r="868" spans="3:9" x14ac:dyDescent="0.15">
      <c r="C868" s="53"/>
      <c r="D868" s="50"/>
      <c r="E868" s="51"/>
      <c r="F868" s="52"/>
      <c r="G868" s="50"/>
      <c r="H868" s="50"/>
      <c r="I868" s="5"/>
    </row>
    <row r="869" spans="3:9" x14ac:dyDescent="0.15">
      <c r="C869" s="53"/>
      <c r="D869" s="50"/>
      <c r="E869" s="51"/>
      <c r="F869" s="52"/>
      <c r="G869" s="50"/>
      <c r="H869" s="50"/>
      <c r="I869" s="5"/>
    </row>
    <row r="870" spans="3:9" x14ac:dyDescent="0.15">
      <c r="C870" s="53"/>
      <c r="D870" s="50"/>
      <c r="E870" s="51"/>
      <c r="F870" s="52"/>
      <c r="G870" s="50"/>
      <c r="H870" s="50"/>
      <c r="I870" s="5"/>
    </row>
    <row r="871" spans="3:9" x14ac:dyDescent="0.15">
      <c r="C871" s="53"/>
      <c r="D871" s="50"/>
      <c r="E871" s="51"/>
      <c r="F871" s="52"/>
      <c r="G871" s="50"/>
      <c r="H871" s="50"/>
      <c r="I871" s="5"/>
    </row>
    <row r="872" spans="3:9" x14ac:dyDescent="0.15">
      <c r="C872" s="53"/>
      <c r="D872" s="50"/>
      <c r="E872" s="51"/>
      <c r="F872" s="52"/>
      <c r="G872" s="50"/>
      <c r="H872" s="50"/>
      <c r="I872" s="5"/>
    </row>
    <row r="873" spans="3:9" x14ac:dyDescent="0.15">
      <c r="C873" s="53"/>
      <c r="D873" s="50"/>
      <c r="E873" s="51"/>
      <c r="F873" s="52"/>
      <c r="G873" s="50"/>
      <c r="H873" s="50"/>
      <c r="I873" s="5"/>
    </row>
    <row r="874" spans="3:9" x14ac:dyDescent="0.15">
      <c r="C874" s="53"/>
      <c r="D874" s="50"/>
      <c r="E874" s="51"/>
      <c r="F874" s="52"/>
      <c r="G874" s="50"/>
      <c r="H874" s="50"/>
      <c r="I874" s="5"/>
    </row>
    <row r="875" spans="3:9" x14ac:dyDescent="0.15">
      <c r="C875" s="53"/>
      <c r="D875" s="50"/>
      <c r="E875" s="51"/>
      <c r="F875" s="52"/>
      <c r="G875" s="50"/>
      <c r="H875" s="50"/>
      <c r="I875" s="5"/>
    </row>
    <row r="876" spans="3:9" x14ac:dyDescent="0.15">
      <c r="C876" s="53"/>
      <c r="D876" s="50"/>
      <c r="E876" s="51"/>
      <c r="F876" s="52"/>
      <c r="G876" s="50"/>
      <c r="H876" s="50"/>
      <c r="I876" s="5"/>
    </row>
    <row r="877" spans="3:9" x14ac:dyDescent="0.15">
      <c r="C877" s="53"/>
      <c r="D877" s="50"/>
      <c r="E877" s="51"/>
      <c r="F877" s="52"/>
      <c r="G877" s="50"/>
      <c r="H877" s="50"/>
      <c r="I877" s="5"/>
    </row>
    <row r="878" spans="3:9" x14ac:dyDescent="0.15">
      <c r="C878" s="53"/>
      <c r="D878" s="50"/>
      <c r="E878" s="51"/>
      <c r="F878" s="52"/>
      <c r="G878" s="50"/>
      <c r="H878" s="50"/>
      <c r="I878" s="5"/>
    </row>
    <row r="879" spans="3:9" x14ac:dyDescent="0.15">
      <c r="C879" s="53"/>
      <c r="D879" s="50"/>
      <c r="E879" s="51"/>
      <c r="F879" s="52"/>
      <c r="G879" s="50"/>
      <c r="H879" s="50"/>
      <c r="I879" s="5"/>
    </row>
    <row r="880" spans="3:9" x14ac:dyDescent="0.15">
      <c r="C880" s="53"/>
      <c r="D880" s="50"/>
      <c r="E880" s="51"/>
      <c r="F880" s="52"/>
      <c r="G880" s="50"/>
      <c r="H880" s="50"/>
      <c r="I880" s="5"/>
    </row>
    <row r="881" spans="3:9" x14ac:dyDescent="0.15">
      <c r="C881" s="53"/>
      <c r="D881" s="50"/>
      <c r="E881" s="51"/>
      <c r="F881" s="52"/>
      <c r="G881" s="50"/>
      <c r="H881" s="50"/>
      <c r="I881" s="5"/>
    </row>
    <row r="882" spans="3:9" x14ac:dyDescent="0.15">
      <c r="C882" s="53"/>
      <c r="D882" s="50"/>
      <c r="E882" s="51"/>
      <c r="F882" s="52"/>
      <c r="G882" s="50"/>
      <c r="H882" s="50"/>
      <c r="I882" s="5"/>
    </row>
    <row r="883" spans="3:9" x14ac:dyDescent="0.15">
      <c r="C883" s="53"/>
      <c r="D883" s="50"/>
      <c r="E883" s="51"/>
      <c r="F883" s="52"/>
      <c r="G883" s="50"/>
      <c r="H883" s="50"/>
      <c r="I883" s="5"/>
    </row>
    <row r="884" spans="3:9" x14ac:dyDescent="0.15">
      <c r="C884" s="53"/>
      <c r="D884" s="50"/>
      <c r="E884" s="51"/>
      <c r="F884" s="52"/>
      <c r="G884" s="50"/>
      <c r="H884" s="50"/>
      <c r="I884" s="5"/>
    </row>
    <row r="885" spans="3:9" x14ac:dyDescent="0.15">
      <c r="C885" s="53"/>
      <c r="D885" s="50"/>
      <c r="E885" s="51"/>
      <c r="F885" s="52"/>
      <c r="G885" s="50"/>
      <c r="H885" s="50"/>
      <c r="I885" s="5"/>
    </row>
    <row r="886" spans="3:9" x14ac:dyDescent="0.15">
      <c r="C886" s="53"/>
      <c r="D886" s="50"/>
      <c r="E886" s="51"/>
      <c r="F886" s="52"/>
      <c r="G886" s="50"/>
      <c r="H886" s="50"/>
      <c r="I886" s="5"/>
    </row>
    <row r="887" spans="3:9" x14ac:dyDescent="0.15">
      <c r="C887" s="53"/>
      <c r="D887" s="50"/>
      <c r="E887" s="51"/>
      <c r="F887" s="52"/>
      <c r="G887" s="50"/>
      <c r="H887" s="50"/>
      <c r="I887" s="5"/>
    </row>
    <row r="888" spans="3:9" x14ac:dyDescent="0.15">
      <c r="C888" s="53"/>
      <c r="D888" s="50"/>
      <c r="E888" s="51"/>
      <c r="F888" s="52"/>
      <c r="G888" s="50"/>
      <c r="H888" s="50"/>
      <c r="I888" s="5"/>
    </row>
    <row r="889" spans="3:9" x14ac:dyDescent="0.15">
      <c r="C889" s="53"/>
      <c r="D889" s="50"/>
      <c r="E889" s="51"/>
      <c r="F889" s="52"/>
      <c r="G889" s="53"/>
      <c r="H889" s="53"/>
    </row>
    <row r="890" spans="3:9" x14ac:dyDescent="0.15">
      <c r="C890" s="53"/>
      <c r="D890" s="50"/>
      <c r="E890" s="51"/>
      <c r="F890" s="52"/>
      <c r="G890" s="53"/>
      <c r="H890" s="53"/>
    </row>
    <row r="891" spans="3:9" x14ac:dyDescent="0.15">
      <c r="C891" s="53"/>
      <c r="D891" s="50"/>
      <c r="E891" s="51"/>
      <c r="F891" s="52"/>
      <c r="G891" s="53"/>
      <c r="H891" s="53"/>
    </row>
    <row r="892" spans="3:9" x14ac:dyDescent="0.15">
      <c r="C892" s="53"/>
      <c r="D892" s="50"/>
      <c r="E892" s="51"/>
      <c r="F892" s="52"/>
      <c r="G892" s="53"/>
      <c r="H892" s="53"/>
    </row>
    <row r="893" spans="3:9" x14ac:dyDescent="0.15">
      <c r="C893" s="53"/>
      <c r="D893" s="50"/>
      <c r="E893" s="51"/>
      <c r="F893" s="52"/>
      <c r="G893" s="53"/>
      <c r="H893" s="53"/>
    </row>
    <row r="894" spans="3:9" x14ac:dyDescent="0.15">
      <c r="C894" s="53"/>
      <c r="D894" s="50"/>
      <c r="E894" s="51"/>
      <c r="F894" s="52"/>
      <c r="G894" s="53"/>
      <c r="H894" s="53"/>
    </row>
    <row r="895" spans="3:9" x14ac:dyDescent="0.15">
      <c r="C895" s="53"/>
      <c r="D895" s="50"/>
      <c r="E895" s="51"/>
      <c r="F895" s="52"/>
      <c r="G895" s="53"/>
      <c r="H895" s="53"/>
    </row>
    <row r="896" spans="3:9" x14ac:dyDescent="0.15">
      <c r="C896" s="53"/>
      <c r="D896" s="50"/>
      <c r="E896" s="51"/>
      <c r="F896" s="52"/>
      <c r="G896" s="53"/>
      <c r="H896" s="53"/>
    </row>
    <row r="897" spans="3:8" x14ac:dyDescent="0.15">
      <c r="C897" s="53"/>
      <c r="D897" s="50"/>
      <c r="E897" s="51"/>
      <c r="F897" s="52"/>
      <c r="G897" s="53"/>
      <c r="H897" s="53"/>
    </row>
    <row r="898" spans="3:8" x14ac:dyDescent="0.15">
      <c r="C898" s="53"/>
      <c r="D898" s="50"/>
      <c r="E898" s="51"/>
      <c r="F898" s="52"/>
      <c r="G898" s="53"/>
      <c r="H898" s="53"/>
    </row>
    <row r="899" spans="3:8" x14ac:dyDescent="0.15">
      <c r="C899" s="53"/>
      <c r="D899" s="50"/>
      <c r="E899" s="51"/>
      <c r="F899" s="52"/>
      <c r="G899" s="53"/>
      <c r="H899" s="53"/>
    </row>
    <row r="900" spans="3:8" x14ac:dyDescent="0.15">
      <c r="C900" s="53"/>
      <c r="D900" s="50"/>
      <c r="E900" s="51"/>
      <c r="F900" s="52"/>
      <c r="G900" s="53"/>
      <c r="H900" s="53"/>
    </row>
    <row r="901" spans="3:8" x14ac:dyDescent="0.15">
      <c r="C901" s="53"/>
      <c r="D901" s="50"/>
      <c r="E901" s="51"/>
      <c r="F901" s="52"/>
      <c r="G901" s="53"/>
      <c r="H901" s="53"/>
    </row>
    <row r="902" spans="3:8" x14ac:dyDescent="0.15">
      <c r="C902" s="53"/>
      <c r="D902" s="50"/>
      <c r="E902" s="51"/>
      <c r="F902" s="52"/>
      <c r="G902" s="53"/>
      <c r="H902" s="53"/>
    </row>
    <row r="903" spans="3:8" x14ac:dyDescent="0.15">
      <c r="C903" s="53"/>
      <c r="D903" s="50"/>
      <c r="E903" s="51"/>
      <c r="F903" s="52"/>
      <c r="G903" s="53"/>
      <c r="H903" s="53"/>
    </row>
    <row r="904" spans="3:8" x14ac:dyDescent="0.15">
      <c r="C904" s="53"/>
      <c r="D904" s="50"/>
      <c r="E904" s="51"/>
      <c r="F904" s="52"/>
      <c r="G904" s="53"/>
      <c r="H904" s="53"/>
    </row>
    <row r="905" spans="3:8" x14ac:dyDescent="0.15">
      <c r="C905" s="53"/>
      <c r="D905" s="50"/>
      <c r="E905" s="51"/>
      <c r="F905" s="52"/>
      <c r="G905" s="53"/>
      <c r="H905" s="53"/>
    </row>
    <row r="906" spans="3:8" x14ac:dyDescent="0.15">
      <c r="C906" s="53"/>
      <c r="D906" s="50"/>
      <c r="E906" s="51"/>
      <c r="F906" s="52"/>
      <c r="G906" s="53"/>
      <c r="H906" s="53"/>
    </row>
    <row r="907" spans="3:8" x14ac:dyDescent="0.15">
      <c r="C907" s="53"/>
      <c r="D907" s="50"/>
      <c r="E907" s="51"/>
      <c r="F907" s="52"/>
      <c r="G907" s="53"/>
      <c r="H907" s="53"/>
    </row>
    <row r="908" spans="3:8" x14ac:dyDescent="0.15">
      <c r="C908" s="53"/>
      <c r="D908" s="50"/>
      <c r="E908" s="51"/>
      <c r="F908" s="52"/>
      <c r="G908" s="53"/>
      <c r="H908" s="53"/>
    </row>
    <row r="909" spans="3:8" x14ac:dyDescent="0.15">
      <c r="C909" s="53"/>
      <c r="D909" s="50"/>
      <c r="E909" s="51"/>
      <c r="F909" s="52"/>
      <c r="G909" s="53"/>
      <c r="H909" s="53"/>
    </row>
    <row r="910" spans="3:8" x14ac:dyDescent="0.15">
      <c r="C910" s="53"/>
      <c r="D910" s="50"/>
      <c r="E910" s="51"/>
      <c r="F910" s="52"/>
      <c r="G910" s="53"/>
      <c r="H910" s="53"/>
    </row>
    <row r="911" spans="3:8" x14ac:dyDescent="0.15">
      <c r="C911" s="53"/>
      <c r="D911" s="50"/>
      <c r="E911" s="51"/>
      <c r="F911" s="52"/>
      <c r="G911" s="53"/>
      <c r="H911" s="53"/>
    </row>
    <row r="912" spans="3:8" x14ac:dyDescent="0.15">
      <c r="C912" s="53"/>
      <c r="D912" s="50"/>
      <c r="E912" s="51"/>
      <c r="F912" s="52"/>
      <c r="G912" s="53"/>
      <c r="H912" s="53"/>
    </row>
    <row r="913" spans="3:8" x14ac:dyDescent="0.15">
      <c r="C913" s="53"/>
      <c r="D913" s="50"/>
      <c r="E913" s="51"/>
      <c r="F913" s="52"/>
      <c r="G913" s="53"/>
      <c r="H913" s="53"/>
    </row>
    <row r="914" spans="3:8" x14ac:dyDescent="0.15">
      <c r="C914" s="53"/>
      <c r="D914" s="50"/>
      <c r="E914" s="51"/>
      <c r="F914" s="52"/>
      <c r="G914" s="53"/>
      <c r="H914" s="53"/>
    </row>
    <row r="915" spans="3:8" x14ac:dyDescent="0.15">
      <c r="C915" s="53"/>
      <c r="D915" s="50"/>
      <c r="E915" s="51"/>
      <c r="F915" s="52"/>
      <c r="G915" s="53"/>
      <c r="H915" s="53"/>
    </row>
    <row r="916" spans="3:8" x14ac:dyDescent="0.15">
      <c r="C916" s="53"/>
      <c r="D916" s="50"/>
      <c r="E916" s="51"/>
      <c r="F916" s="52"/>
      <c r="G916" s="53"/>
      <c r="H916" s="53"/>
    </row>
    <row r="917" spans="3:8" x14ac:dyDescent="0.15">
      <c r="C917" s="53"/>
      <c r="D917" s="50"/>
      <c r="E917" s="51"/>
      <c r="F917" s="52"/>
      <c r="G917" s="53"/>
      <c r="H917" s="53"/>
    </row>
    <row r="918" spans="3:8" x14ac:dyDescent="0.15">
      <c r="C918" s="53"/>
      <c r="D918" s="50"/>
      <c r="E918" s="51"/>
      <c r="F918" s="52"/>
      <c r="G918" s="53"/>
      <c r="H918" s="53"/>
    </row>
    <row r="919" spans="3:8" x14ac:dyDescent="0.15">
      <c r="C919" s="53"/>
      <c r="D919" s="50"/>
      <c r="E919" s="51"/>
      <c r="F919" s="52"/>
      <c r="G919" s="53"/>
      <c r="H919" s="53"/>
    </row>
    <row r="920" spans="3:8" x14ac:dyDescent="0.15">
      <c r="C920" s="53"/>
      <c r="D920" s="50"/>
      <c r="E920" s="51"/>
      <c r="F920" s="52"/>
      <c r="G920" s="53"/>
      <c r="H920" s="53"/>
    </row>
    <row r="921" spans="3:8" x14ac:dyDescent="0.15">
      <c r="C921" s="53"/>
      <c r="D921" s="50"/>
      <c r="E921" s="51"/>
      <c r="F921" s="52"/>
      <c r="G921" s="53"/>
      <c r="H921" s="53"/>
    </row>
    <row r="922" spans="3:8" x14ac:dyDescent="0.15">
      <c r="C922" s="53"/>
      <c r="D922" s="50"/>
      <c r="E922" s="51"/>
      <c r="F922" s="52"/>
      <c r="G922" s="53"/>
      <c r="H922" s="53"/>
    </row>
    <row r="923" spans="3:8" x14ac:dyDescent="0.15">
      <c r="C923" s="53"/>
      <c r="D923" s="50"/>
      <c r="E923" s="51"/>
      <c r="F923" s="52"/>
      <c r="G923" s="53"/>
      <c r="H923" s="53"/>
    </row>
    <row r="924" spans="3:8" x14ac:dyDescent="0.15">
      <c r="C924" s="53"/>
      <c r="D924" s="50"/>
      <c r="E924" s="51"/>
      <c r="F924" s="52"/>
      <c r="G924" s="53"/>
      <c r="H924" s="53"/>
    </row>
    <row r="925" spans="3:8" x14ac:dyDescent="0.15">
      <c r="C925" s="53"/>
      <c r="D925" s="50"/>
      <c r="E925" s="51"/>
      <c r="F925" s="52"/>
      <c r="G925" s="53"/>
      <c r="H925" s="53"/>
    </row>
    <row r="926" spans="3:8" x14ac:dyDescent="0.15">
      <c r="C926" s="53"/>
      <c r="D926" s="50"/>
      <c r="E926" s="51"/>
      <c r="F926" s="52"/>
      <c r="G926" s="53"/>
      <c r="H926" s="53"/>
    </row>
    <row r="927" spans="3:8" x14ac:dyDescent="0.15">
      <c r="C927" s="53"/>
      <c r="D927" s="50"/>
      <c r="E927" s="51"/>
      <c r="F927" s="52"/>
      <c r="G927" s="53"/>
      <c r="H927" s="53"/>
    </row>
    <row r="928" spans="3:8" x14ac:dyDescent="0.15">
      <c r="C928" s="53"/>
      <c r="D928" s="50"/>
      <c r="E928" s="51"/>
      <c r="F928" s="52"/>
      <c r="G928" s="53"/>
      <c r="H928" s="53"/>
    </row>
    <row r="929" spans="3:8" x14ac:dyDescent="0.15">
      <c r="C929" s="53"/>
      <c r="D929" s="50"/>
      <c r="E929" s="51"/>
      <c r="F929" s="52"/>
      <c r="G929" s="53"/>
      <c r="H929" s="53"/>
    </row>
    <row r="930" spans="3:8" x14ac:dyDescent="0.15">
      <c r="C930" s="53"/>
      <c r="D930" s="50"/>
      <c r="E930" s="51"/>
      <c r="F930" s="52"/>
      <c r="G930" s="53"/>
      <c r="H930" s="53"/>
    </row>
    <row r="931" spans="3:8" x14ac:dyDescent="0.15">
      <c r="C931" s="53"/>
      <c r="D931" s="50"/>
      <c r="E931" s="51"/>
      <c r="F931" s="52"/>
      <c r="G931" s="53"/>
      <c r="H931" s="53"/>
    </row>
    <row r="932" spans="3:8" x14ac:dyDescent="0.15">
      <c r="C932" s="53"/>
      <c r="D932" s="50"/>
      <c r="E932" s="51"/>
      <c r="F932" s="52"/>
      <c r="G932" s="53"/>
      <c r="H932" s="53"/>
    </row>
    <row r="933" spans="3:8" x14ac:dyDescent="0.15">
      <c r="C933" s="53"/>
      <c r="D933" s="50"/>
      <c r="E933" s="51"/>
      <c r="F933" s="52"/>
      <c r="G933" s="53"/>
      <c r="H933" s="53"/>
    </row>
    <row r="934" spans="3:8" x14ac:dyDescent="0.15">
      <c r="C934" s="53"/>
      <c r="D934" s="50"/>
      <c r="E934" s="51"/>
      <c r="F934" s="52"/>
      <c r="G934" s="53"/>
      <c r="H934" s="53"/>
    </row>
    <row r="935" spans="3:8" x14ac:dyDescent="0.15">
      <c r="C935" s="53"/>
      <c r="D935" s="50"/>
      <c r="E935" s="51"/>
      <c r="F935" s="52"/>
      <c r="G935" s="53"/>
      <c r="H935" s="53"/>
    </row>
    <row r="936" spans="3:8" x14ac:dyDescent="0.15">
      <c r="C936" s="53"/>
      <c r="D936" s="50"/>
      <c r="E936" s="51"/>
      <c r="F936" s="52"/>
      <c r="G936" s="53"/>
      <c r="H936" s="53"/>
    </row>
    <row r="937" spans="3:8" x14ac:dyDescent="0.15">
      <c r="C937" s="53"/>
      <c r="D937" s="50"/>
      <c r="E937" s="51"/>
      <c r="F937" s="52"/>
      <c r="G937" s="53"/>
      <c r="H937" s="53"/>
    </row>
    <row r="938" spans="3:8" x14ac:dyDescent="0.15">
      <c r="C938" s="53"/>
      <c r="D938" s="50"/>
      <c r="E938" s="51"/>
      <c r="F938" s="52"/>
      <c r="G938" s="53"/>
      <c r="H938" s="53"/>
    </row>
    <row r="939" spans="3:8" x14ac:dyDescent="0.15">
      <c r="C939" s="53"/>
      <c r="D939" s="50"/>
      <c r="E939" s="51"/>
      <c r="F939" s="52"/>
      <c r="G939" s="53"/>
      <c r="H939" s="53"/>
    </row>
    <row r="940" spans="3:8" x14ac:dyDescent="0.15">
      <c r="C940" s="53"/>
      <c r="D940" s="50"/>
      <c r="E940" s="51"/>
      <c r="F940" s="52"/>
      <c r="G940" s="53"/>
      <c r="H940" s="53"/>
    </row>
    <row r="941" spans="3:8" x14ac:dyDescent="0.15">
      <c r="C941" s="53"/>
      <c r="D941" s="50"/>
      <c r="E941" s="51"/>
      <c r="F941" s="52"/>
      <c r="G941" s="53"/>
      <c r="H941" s="53"/>
    </row>
    <row r="942" spans="3:8" x14ac:dyDescent="0.15">
      <c r="C942" s="53"/>
      <c r="D942" s="50"/>
      <c r="E942" s="51"/>
      <c r="F942" s="52"/>
      <c r="G942" s="53"/>
      <c r="H942" s="53"/>
    </row>
    <row r="943" spans="3:8" x14ac:dyDescent="0.15">
      <c r="C943" s="53"/>
      <c r="D943" s="50"/>
      <c r="E943" s="51"/>
      <c r="F943" s="52"/>
      <c r="G943" s="53"/>
      <c r="H943" s="53"/>
    </row>
    <row r="944" spans="3:8" x14ac:dyDescent="0.15">
      <c r="C944" s="53"/>
      <c r="D944" s="50"/>
      <c r="E944" s="51"/>
      <c r="F944" s="52"/>
      <c r="G944" s="53"/>
      <c r="H944" s="53"/>
    </row>
    <row r="945" spans="3:8" x14ac:dyDescent="0.15">
      <c r="C945" s="53"/>
      <c r="D945" s="50"/>
      <c r="E945" s="51"/>
      <c r="F945" s="52"/>
      <c r="G945" s="53"/>
      <c r="H945" s="53"/>
    </row>
    <row r="946" spans="3:8" x14ac:dyDescent="0.15">
      <c r="C946" s="53"/>
      <c r="D946" s="50"/>
      <c r="E946" s="51"/>
      <c r="F946" s="52"/>
      <c r="G946" s="53"/>
      <c r="H946" s="53"/>
    </row>
    <row r="947" spans="3:8" x14ac:dyDescent="0.15">
      <c r="C947" s="53"/>
      <c r="D947" s="50"/>
      <c r="E947" s="51"/>
      <c r="F947" s="52"/>
      <c r="G947" s="53"/>
      <c r="H947" s="53"/>
    </row>
    <row r="948" spans="3:8" x14ac:dyDescent="0.15">
      <c r="C948" s="53"/>
      <c r="D948" s="50"/>
      <c r="E948" s="51"/>
      <c r="F948" s="52"/>
      <c r="G948" s="53"/>
      <c r="H948" s="53"/>
    </row>
    <row r="949" spans="3:8" x14ac:dyDescent="0.15">
      <c r="C949" s="53"/>
      <c r="D949" s="50"/>
      <c r="E949" s="51"/>
      <c r="F949" s="52"/>
      <c r="G949" s="53"/>
      <c r="H949" s="53"/>
    </row>
    <row r="950" spans="3:8" x14ac:dyDescent="0.15">
      <c r="C950" s="53"/>
      <c r="D950" s="50"/>
      <c r="E950" s="51"/>
      <c r="F950" s="52"/>
      <c r="G950" s="53"/>
      <c r="H950" s="53"/>
    </row>
    <row r="951" spans="3:8" x14ac:dyDescent="0.15">
      <c r="C951" s="53"/>
      <c r="D951" s="50"/>
      <c r="E951" s="51"/>
      <c r="F951" s="52"/>
      <c r="G951" s="53"/>
      <c r="H951" s="53"/>
    </row>
    <row r="952" spans="3:8" x14ac:dyDescent="0.15">
      <c r="C952" s="53"/>
      <c r="D952" s="50"/>
      <c r="E952" s="51"/>
      <c r="F952" s="52"/>
      <c r="G952" s="53"/>
      <c r="H952" s="53"/>
    </row>
    <row r="953" spans="3:8" x14ac:dyDescent="0.15">
      <c r="C953" s="53"/>
      <c r="D953" s="50"/>
      <c r="E953" s="51"/>
      <c r="F953" s="52"/>
      <c r="G953" s="53"/>
      <c r="H953" s="53"/>
    </row>
    <row r="954" spans="3:8" x14ac:dyDescent="0.15">
      <c r="C954" s="53"/>
      <c r="D954" s="50"/>
      <c r="E954" s="51"/>
      <c r="F954" s="52"/>
      <c r="G954" s="53"/>
      <c r="H954" s="53"/>
    </row>
    <row r="955" spans="3:8" x14ac:dyDescent="0.15">
      <c r="C955" s="53"/>
      <c r="D955" s="50"/>
      <c r="E955" s="51"/>
      <c r="F955" s="52"/>
      <c r="G955" s="53"/>
      <c r="H955" s="53"/>
    </row>
    <row r="956" spans="3:8" x14ac:dyDescent="0.15">
      <c r="C956" s="53"/>
      <c r="D956" s="50"/>
      <c r="E956" s="51"/>
      <c r="F956" s="52"/>
      <c r="G956" s="53"/>
      <c r="H956" s="53"/>
    </row>
    <row r="957" spans="3:8" x14ac:dyDescent="0.15">
      <c r="C957" s="53"/>
      <c r="D957" s="50"/>
      <c r="E957" s="51"/>
      <c r="F957" s="52"/>
      <c r="G957" s="53"/>
      <c r="H957" s="53"/>
    </row>
    <row r="958" spans="3:8" x14ac:dyDescent="0.15">
      <c r="C958" s="53"/>
      <c r="D958" s="50"/>
      <c r="E958" s="51"/>
      <c r="F958" s="52"/>
      <c r="G958" s="53"/>
      <c r="H958" s="53"/>
    </row>
    <row r="959" spans="3:8" x14ac:dyDescent="0.15">
      <c r="C959" s="53"/>
      <c r="D959" s="50"/>
      <c r="E959" s="51"/>
      <c r="F959" s="52"/>
      <c r="G959" s="53"/>
      <c r="H959" s="53"/>
    </row>
    <row r="960" spans="3:8" x14ac:dyDescent="0.15">
      <c r="C960" s="53"/>
      <c r="D960" s="50"/>
      <c r="E960" s="51"/>
      <c r="F960" s="52"/>
      <c r="G960" s="53"/>
      <c r="H960" s="53"/>
    </row>
    <row r="961" spans="3:8" x14ac:dyDescent="0.15">
      <c r="C961" s="53"/>
      <c r="D961" s="50"/>
      <c r="E961" s="51"/>
      <c r="F961" s="52"/>
      <c r="G961" s="53"/>
      <c r="H961" s="53"/>
    </row>
    <row r="962" spans="3:8" x14ac:dyDescent="0.15">
      <c r="C962" s="53"/>
      <c r="D962" s="50"/>
      <c r="E962" s="51"/>
      <c r="F962" s="52"/>
      <c r="G962" s="53"/>
      <c r="H962" s="53"/>
    </row>
    <row r="963" spans="3:8" x14ac:dyDescent="0.15">
      <c r="C963" s="53"/>
      <c r="D963" s="50"/>
      <c r="E963" s="51"/>
      <c r="F963" s="52"/>
      <c r="G963" s="53"/>
      <c r="H963" s="53"/>
    </row>
    <row r="964" spans="3:8" x14ac:dyDescent="0.15">
      <c r="C964" s="53"/>
      <c r="D964" s="50"/>
      <c r="E964" s="51"/>
      <c r="F964" s="52"/>
      <c r="G964" s="53"/>
      <c r="H964" s="53"/>
    </row>
    <row r="965" spans="3:8" x14ac:dyDescent="0.15">
      <c r="C965" s="53"/>
      <c r="D965" s="50"/>
      <c r="E965" s="51"/>
      <c r="F965" s="52"/>
      <c r="G965" s="53"/>
      <c r="H965" s="53"/>
    </row>
    <row r="966" spans="3:8" x14ac:dyDescent="0.15">
      <c r="C966" s="53"/>
      <c r="D966" s="50"/>
      <c r="E966" s="51"/>
      <c r="F966" s="52"/>
      <c r="G966" s="53"/>
      <c r="H966" s="53"/>
    </row>
    <row r="967" spans="3:8" x14ac:dyDescent="0.15">
      <c r="C967" s="53"/>
      <c r="D967" s="50"/>
      <c r="E967" s="51"/>
      <c r="F967" s="52"/>
      <c r="G967" s="53"/>
      <c r="H967" s="53"/>
    </row>
    <row r="968" spans="3:8" x14ac:dyDescent="0.15">
      <c r="C968" s="53"/>
      <c r="D968" s="50"/>
      <c r="E968" s="51"/>
      <c r="F968" s="52"/>
      <c r="G968" s="53"/>
      <c r="H968" s="53"/>
    </row>
    <row r="969" spans="3:8" x14ac:dyDescent="0.15">
      <c r="C969" s="53"/>
      <c r="D969" s="50"/>
      <c r="E969" s="51"/>
      <c r="F969" s="52"/>
      <c r="G969" s="53"/>
      <c r="H969" s="53"/>
    </row>
    <row r="970" spans="3:8" x14ac:dyDescent="0.15">
      <c r="C970" s="53"/>
      <c r="D970" s="50"/>
      <c r="E970" s="51"/>
      <c r="F970" s="52"/>
      <c r="G970" s="53"/>
      <c r="H970" s="53"/>
    </row>
    <row r="971" spans="3:8" x14ac:dyDescent="0.15">
      <c r="C971" s="53"/>
      <c r="D971" s="50"/>
      <c r="E971" s="51"/>
      <c r="F971" s="52"/>
      <c r="G971" s="53"/>
      <c r="H971" s="53"/>
    </row>
    <row r="972" spans="3:8" x14ac:dyDescent="0.15">
      <c r="C972" s="53"/>
      <c r="D972" s="50"/>
      <c r="E972" s="51"/>
      <c r="F972" s="52"/>
      <c r="G972" s="53"/>
      <c r="H972" s="53"/>
    </row>
    <row r="973" spans="3:8" x14ac:dyDescent="0.15">
      <c r="C973" s="53"/>
      <c r="D973" s="50"/>
      <c r="E973" s="51"/>
      <c r="F973" s="52"/>
      <c r="G973" s="53"/>
      <c r="H973" s="53"/>
    </row>
    <row r="974" spans="3:8" x14ac:dyDescent="0.15">
      <c r="C974" s="53"/>
      <c r="D974" s="50"/>
      <c r="E974" s="51"/>
      <c r="F974" s="52"/>
      <c r="G974" s="53"/>
      <c r="H974" s="53"/>
    </row>
    <row r="975" spans="3:8" x14ac:dyDescent="0.15">
      <c r="C975" s="53"/>
      <c r="D975" s="50"/>
      <c r="E975" s="51"/>
      <c r="F975" s="52"/>
      <c r="G975" s="53"/>
      <c r="H975" s="53"/>
    </row>
    <row r="976" spans="3:8" x14ac:dyDescent="0.15">
      <c r="C976" s="53"/>
      <c r="D976" s="50"/>
      <c r="E976" s="51"/>
      <c r="F976" s="52"/>
      <c r="G976" s="53"/>
      <c r="H976" s="53"/>
    </row>
    <row r="977" spans="3:8" x14ac:dyDescent="0.15">
      <c r="C977" s="53"/>
      <c r="D977" s="50"/>
      <c r="E977" s="51"/>
      <c r="F977" s="52"/>
      <c r="G977" s="53"/>
      <c r="H977" s="53"/>
    </row>
    <row r="978" spans="3:8" x14ac:dyDescent="0.15">
      <c r="C978" s="53"/>
      <c r="D978" s="50"/>
      <c r="E978" s="51"/>
      <c r="F978" s="52"/>
      <c r="G978" s="53"/>
      <c r="H978" s="53"/>
    </row>
    <row r="979" spans="3:8" x14ac:dyDescent="0.15">
      <c r="C979" s="53"/>
      <c r="D979" s="50"/>
      <c r="E979" s="51"/>
      <c r="F979" s="52"/>
      <c r="G979" s="53"/>
      <c r="H979" s="53"/>
    </row>
    <row r="980" spans="3:8" x14ac:dyDescent="0.15">
      <c r="C980" s="53"/>
      <c r="D980" s="50"/>
      <c r="E980" s="51"/>
      <c r="F980" s="52"/>
      <c r="G980" s="53"/>
      <c r="H980" s="53"/>
    </row>
    <row r="981" spans="3:8" x14ac:dyDescent="0.15">
      <c r="C981" s="53"/>
      <c r="D981" s="50"/>
      <c r="E981" s="51"/>
      <c r="F981" s="52"/>
      <c r="G981" s="53"/>
      <c r="H981" s="53"/>
    </row>
    <row r="982" spans="3:8" x14ac:dyDescent="0.15">
      <c r="C982" s="53"/>
      <c r="D982" s="50"/>
      <c r="E982" s="51"/>
      <c r="F982" s="52"/>
      <c r="G982" s="53"/>
      <c r="H982" s="53"/>
    </row>
    <row r="983" spans="3:8" x14ac:dyDescent="0.15">
      <c r="C983" s="53"/>
      <c r="D983" s="50"/>
      <c r="E983" s="51"/>
      <c r="F983" s="52"/>
      <c r="G983" s="53"/>
      <c r="H983" s="53"/>
    </row>
    <row r="984" spans="3:8" x14ac:dyDescent="0.15">
      <c r="C984" s="53"/>
      <c r="D984" s="50"/>
      <c r="E984" s="51"/>
      <c r="F984" s="52"/>
      <c r="G984" s="53"/>
      <c r="H984" s="53"/>
    </row>
    <row r="985" spans="3:8" x14ac:dyDescent="0.15">
      <c r="C985" s="53"/>
      <c r="D985" s="50"/>
      <c r="E985" s="51"/>
      <c r="F985" s="52"/>
      <c r="G985" s="53"/>
      <c r="H985" s="53"/>
    </row>
    <row r="986" spans="3:8" x14ac:dyDescent="0.15">
      <c r="C986" s="53"/>
      <c r="D986" s="50"/>
      <c r="E986" s="51"/>
      <c r="F986" s="52"/>
      <c r="G986" s="53"/>
      <c r="H986" s="53"/>
    </row>
    <row r="987" spans="3:8" x14ac:dyDescent="0.15">
      <c r="C987" s="53"/>
      <c r="D987" s="50"/>
      <c r="E987" s="51"/>
      <c r="F987" s="52"/>
      <c r="G987" s="53"/>
      <c r="H987" s="53"/>
    </row>
    <row r="988" spans="3:8" x14ac:dyDescent="0.15">
      <c r="C988" s="53"/>
      <c r="D988" s="50"/>
      <c r="E988" s="51"/>
      <c r="F988" s="52"/>
      <c r="G988" s="53"/>
      <c r="H988" s="53"/>
    </row>
    <row r="989" spans="3:8" x14ac:dyDescent="0.15">
      <c r="C989" s="53"/>
      <c r="D989" s="50"/>
      <c r="E989" s="51"/>
      <c r="F989" s="52"/>
      <c r="G989" s="53"/>
      <c r="H989" s="53"/>
    </row>
    <row r="990" spans="3:8" x14ac:dyDescent="0.15">
      <c r="C990" s="53"/>
      <c r="D990" s="50"/>
      <c r="E990" s="51"/>
      <c r="F990" s="52"/>
      <c r="G990" s="53"/>
      <c r="H990" s="53"/>
    </row>
    <row r="991" spans="3:8" x14ac:dyDescent="0.15">
      <c r="C991" s="53"/>
      <c r="D991" s="50"/>
      <c r="E991" s="51"/>
      <c r="F991" s="52"/>
      <c r="G991" s="53"/>
      <c r="H991" s="53"/>
    </row>
    <row r="992" spans="3:8" x14ac:dyDescent="0.15">
      <c r="C992" s="53"/>
      <c r="D992" s="50"/>
      <c r="E992" s="51"/>
      <c r="F992" s="52"/>
      <c r="G992" s="53"/>
      <c r="H992" s="53"/>
    </row>
    <row r="993" spans="3:8" x14ac:dyDescent="0.15">
      <c r="C993" s="53"/>
      <c r="D993" s="50"/>
      <c r="E993" s="51"/>
      <c r="F993" s="52"/>
      <c r="G993" s="53"/>
      <c r="H993" s="53"/>
    </row>
    <row r="994" spans="3:8" x14ac:dyDescent="0.15">
      <c r="C994" s="53"/>
      <c r="D994" s="50"/>
      <c r="E994" s="51"/>
      <c r="F994" s="52"/>
      <c r="G994" s="53"/>
      <c r="H994" s="53"/>
    </row>
    <row r="995" spans="3:8" x14ac:dyDescent="0.15">
      <c r="C995" s="53"/>
      <c r="D995" s="50"/>
      <c r="E995" s="51"/>
      <c r="F995" s="52"/>
      <c r="G995" s="53"/>
      <c r="H995" s="53"/>
    </row>
    <row r="996" spans="3:8" x14ac:dyDescent="0.15">
      <c r="C996" s="53"/>
      <c r="D996" s="50"/>
      <c r="E996" s="51"/>
      <c r="F996" s="52"/>
      <c r="G996" s="53"/>
      <c r="H996" s="53"/>
    </row>
    <row r="997" spans="3:8" x14ac:dyDescent="0.15">
      <c r="C997" s="53"/>
      <c r="D997" s="50"/>
      <c r="E997" s="51"/>
      <c r="F997" s="52"/>
      <c r="G997" s="53"/>
      <c r="H997" s="53"/>
    </row>
    <row r="998" spans="3:8" x14ac:dyDescent="0.15">
      <c r="C998" s="53"/>
      <c r="D998" s="50"/>
      <c r="E998" s="51"/>
      <c r="F998" s="52"/>
      <c r="G998" s="53"/>
      <c r="H998" s="53"/>
    </row>
    <row r="999" spans="3:8" x14ac:dyDescent="0.15">
      <c r="C999" s="53"/>
      <c r="D999" s="50"/>
      <c r="E999" s="51"/>
      <c r="F999" s="52"/>
      <c r="G999" s="53"/>
      <c r="H999" s="53"/>
    </row>
    <row r="1000" spans="3:8" x14ac:dyDescent="0.15">
      <c r="C1000" s="53"/>
      <c r="D1000" s="50"/>
      <c r="E1000" s="51"/>
      <c r="F1000" s="52"/>
      <c r="G1000" s="53"/>
      <c r="H1000" s="53"/>
    </row>
    <row r="1001" spans="3:8" x14ac:dyDescent="0.15">
      <c r="C1001" s="53"/>
      <c r="D1001" s="50"/>
      <c r="E1001" s="51"/>
      <c r="F1001" s="52"/>
      <c r="G1001" s="53"/>
      <c r="H1001" s="53"/>
    </row>
    <row r="1002" spans="3:8" x14ac:dyDescent="0.15">
      <c r="C1002" s="53"/>
      <c r="D1002" s="50"/>
      <c r="E1002" s="51"/>
      <c r="F1002" s="52"/>
      <c r="G1002" s="53"/>
      <c r="H1002" s="53"/>
    </row>
    <row r="1003" spans="3:8" x14ac:dyDescent="0.15">
      <c r="C1003" s="53"/>
      <c r="D1003" s="50"/>
      <c r="E1003" s="51"/>
      <c r="F1003" s="52"/>
      <c r="G1003" s="53"/>
      <c r="H1003" s="53"/>
    </row>
    <row r="1004" spans="3:8" x14ac:dyDescent="0.15">
      <c r="C1004" s="53"/>
      <c r="D1004" s="50"/>
      <c r="E1004" s="51"/>
      <c r="F1004" s="52"/>
      <c r="G1004" s="53"/>
      <c r="H1004" s="53"/>
    </row>
    <row r="1005" spans="3:8" x14ac:dyDescent="0.15">
      <c r="C1005" s="53"/>
      <c r="D1005" s="50"/>
      <c r="E1005" s="51"/>
      <c r="F1005" s="52"/>
      <c r="G1005" s="53"/>
      <c r="H1005" s="53"/>
    </row>
    <row r="1006" spans="3:8" x14ac:dyDescent="0.15">
      <c r="C1006" s="53"/>
      <c r="D1006" s="50"/>
      <c r="E1006" s="51"/>
      <c r="F1006" s="52"/>
      <c r="G1006" s="53"/>
      <c r="H1006" s="53"/>
    </row>
    <row r="1007" spans="3:8" x14ac:dyDescent="0.15">
      <c r="C1007" s="53"/>
      <c r="D1007" s="50"/>
      <c r="E1007" s="51"/>
      <c r="F1007" s="52"/>
      <c r="G1007" s="53"/>
      <c r="H1007" s="53"/>
    </row>
    <row r="1008" spans="3:8" x14ac:dyDescent="0.15">
      <c r="C1008" s="53"/>
      <c r="D1008" s="50"/>
      <c r="E1008" s="51"/>
      <c r="F1008" s="52"/>
      <c r="G1008" s="53"/>
      <c r="H1008" s="53"/>
    </row>
    <row r="1009" spans="3:8" x14ac:dyDescent="0.15">
      <c r="C1009" s="53"/>
      <c r="D1009" s="50"/>
      <c r="E1009" s="51"/>
      <c r="F1009" s="52"/>
      <c r="G1009" s="53"/>
      <c r="H1009" s="53"/>
    </row>
    <row r="1010" spans="3:8" x14ac:dyDescent="0.15">
      <c r="C1010" s="53"/>
      <c r="D1010" s="50"/>
      <c r="E1010" s="51"/>
      <c r="F1010" s="52"/>
      <c r="G1010" s="53"/>
      <c r="H1010" s="53"/>
    </row>
    <row r="1011" spans="3:8" x14ac:dyDescent="0.15">
      <c r="C1011" s="53"/>
      <c r="D1011" s="50"/>
      <c r="E1011" s="51"/>
      <c r="F1011" s="52"/>
      <c r="G1011" s="53"/>
      <c r="H1011" s="53"/>
    </row>
    <row r="1012" spans="3:8" x14ac:dyDescent="0.15">
      <c r="C1012" s="53"/>
      <c r="D1012" s="50"/>
      <c r="E1012" s="51"/>
      <c r="F1012" s="52"/>
      <c r="G1012" s="53"/>
      <c r="H1012" s="53"/>
    </row>
    <row r="1013" spans="3:8" x14ac:dyDescent="0.15">
      <c r="C1013" s="53"/>
      <c r="D1013" s="50"/>
      <c r="E1013" s="51"/>
      <c r="F1013" s="52"/>
      <c r="G1013" s="53"/>
      <c r="H1013" s="53"/>
    </row>
    <row r="1014" spans="3:8" x14ac:dyDescent="0.15">
      <c r="C1014" s="53"/>
      <c r="D1014" s="50"/>
      <c r="E1014" s="51"/>
      <c r="F1014" s="52"/>
      <c r="G1014" s="53"/>
      <c r="H1014" s="53"/>
    </row>
    <row r="1015" spans="3:8" x14ac:dyDescent="0.15">
      <c r="C1015" s="53"/>
      <c r="D1015" s="50"/>
      <c r="E1015" s="51"/>
      <c r="F1015" s="52"/>
      <c r="G1015" s="53"/>
      <c r="H1015" s="53"/>
    </row>
    <row r="1016" spans="3:8" x14ac:dyDescent="0.15">
      <c r="C1016" s="53"/>
      <c r="D1016" s="50"/>
      <c r="E1016" s="51"/>
      <c r="F1016" s="52"/>
      <c r="G1016" s="53"/>
      <c r="H1016" s="53"/>
    </row>
    <row r="1017" spans="3:8" x14ac:dyDescent="0.15">
      <c r="C1017" s="53"/>
      <c r="D1017" s="50"/>
      <c r="E1017" s="51"/>
      <c r="F1017" s="52"/>
      <c r="G1017" s="53"/>
      <c r="H1017" s="53"/>
    </row>
    <row r="1018" spans="3:8" x14ac:dyDescent="0.15">
      <c r="C1018" s="53"/>
      <c r="D1018" s="50"/>
      <c r="E1018" s="51"/>
      <c r="F1018" s="52"/>
      <c r="G1018" s="53"/>
      <c r="H1018" s="53"/>
    </row>
    <row r="1019" spans="3:8" x14ac:dyDescent="0.15">
      <c r="C1019" s="53"/>
      <c r="D1019" s="50"/>
      <c r="E1019" s="51"/>
      <c r="F1019" s="52"/>
      <c r="G1019" s="53"/>
      <c r="H1019" s="53"/>
    </row>
    <row r="1020" spans="3:8" x14ac:dyDescent="0.15">
      <c r="C1020" s="53"/>
      <c r="D1020" s="50"/>
      <c r="E1020" s="51"/>
      <c r="F1020" s="52"/>
      <c r="G1020" s="53"/>
      <c r="H1020" s="53"/>
    </row>
    <row r="1021" spans="3:8" x14ac:dyDescent="0.15">
      <c r="C1021" s="53"/>
      <c r="D1021" s="50"/>
      <c r="E1021" s="51"/>
      <c r="F1021" s="52"/>
      <c r="G1021" s="53"/>
      <c r="H1021" s="53"/>
    </row>
    <row r="1022" spans="3:8" x14ac:dyDescent="0.15">
      <c r="C1022" s="53"/>
      <c r="D1022" s="50"/>
      <c r="E1022" s="51"/>
      <c r="F1022" s="52"/>
      <c r="G1022" s="53"/>
      <c r="H1022" s="53"/>
    </row>
    <row r="1023" spans="3:8" x14ac:dyDescent="0.15">
      <c r="C1023" s="53"/>
      <c r="D1023" s="50"/>
      <c r="E1023" s="51"/>
      <c r="F1023" s="52"/>
      <c r="G1023" s="53"/>
      <c r="H1023" s="53"/>
    </row>
    <row r="1024" spans="3:8" x14ac:dyDescent="0.15">
      <c r="C1024" s="53"/>
      <c r="D1024" s="50"/>
      <c r="E1024" s="51"/>
      <c r="F1024" s="52"/>
      <c r="G1024" s="53"/>
      <c r="H1024" s="53"/>
    </row>
    <row r="1025" spans="3:8" x14ac:dyDescent="0.15">
      <c r="C1025" s="53"/>
      <c r="D1025" s="50"/>
      <c r="E1025" s="51"/>
      <c r="F1025" s="52"/>
      <c r="G1025" s="53"/>
      <c r="H1025" s="53"/>
    </row>
    <row r="1026" spans="3:8" x14ac:dyDescent="0.15">
      <c r="C1026" s="53"/>
      <c r="D1026" s="50"/>
      <c r="E1026" s="51"/>
      <c r="F1026" s="52"/>
      <c r="G1026" s="53"/>
      <c r="H1026" s="53"/>
    </row>
    <row r="1027" spans="3:8" x14ac:dyDescent="0.15">
      <c r="C1027" s="53"/>
      <c r="D1027" s="50"/>
      <c r="E1027" s="51"/>
      <c r="F1027" s="52"/>
      <c r="G1027" s="53"/>
      <c r="H1027" s="53"/>
    </row>
    <row r="1028" spans="3:8" x14ac:dyDescent="0.15">
      <c r="C1028" s="53"/>
      <c r="D1028" s="50"/>
      <c r="E1028" s="51"/>
      <c r="F1028" s="52"/>
      <c r="G1028" s="53"/>
      <c r="H1028" s="53"/>
    </row>
    <row r="1029" spans="3:8" x14ac:dyDescent="0.15">
      <c r="C1029" s="53"/>
      <c r="D1029" s="50"/>
      <c r="E1029" s="51"/>
      <c r="F1029" s="52"/>
      <c r="G1029" s="53"/>
      <c r="H1029" s="53"/>
    </row>
    <row r="1030" spans="3:8" x14ac:dyDescent="0.15">
      <c r="C1030" s="53"/>
      <c r="D1030" s="50"/>
      <c r="E1030" s="51"/>
      <c r="F1030" s="52"/>
      <c r="G1030" s="53"/>
      <c r="H1030" s="53"/>
    </row>
    <row r="1031" spans="3:8" x14ac:dyDescent="0.15">
      <c r="C1031" s="53"/>
      <c r="D1031" s="50"/>
      <c r="E1031" s="51"/>
      <c r="F1031" s="52"/>
      <c r="G1031" s="53"/>
      <c r="H1031" s="53"/>
    </row>
    <row r="1032" spans="3:8" x14ac:dyDescent="0.15">
      <c r="C1032" s="53"/>
      <c r="D1032" s="50"/>
      <c r="E1032" s="51"/>
      <c r="F1032" s="52"/>
      <c r="G1032" s="53"/>
      <c r="H1032" s="53"/>
    </row>
    <row r="1033" spans="3:8" x14ac:dyDescent="0.15">
      <c r="C1033" s="53"/>
      <c r="D1033" s="50"/>
      <c r="E1033" s="51"/>
      <c r="F1033" s="52"/>
      <c r="G1033" s="53"/>
      <c r="H1033" s="53"/>
    </row>
    <row r="1034" spans="3:8" x14ac:dyDescent="0.15">
      <c r="C1034" s="53"/>
      <c r="D1034" s="50"/>
      <c r="E1034" s="51"/>
      <c r="F1034" s="52"/>
      <c r="G1034" s="53"/>
      <c r="H1034" s="53"/>
    </row>
    <row r="1035" spans="3:8" x14ac:dyDescent="0.15">
      <c r="C1035" s="53"/>
      <c r="D1035" s="50"/>
      <c r="E1035" s="51"/>
      <c r="F1035" s="52"/>
      <c r="G1035" s="53"/>
      <c r="H1035" s="53"/>
    </row>
    <row r="1036" spans="3:8" x14ac:dyDescent="0.15">
      <c r="C1036" s="53"/>
      <c r="D1036" s="50"/>
      <c r="E1036" s="51"/>
      <c r="F1036" s="52"/>
      <c r="G1036" s="53"/>
      <c r="H1036" s="53"/>
    </row>
    <row r="1037" spans="3:8" x14ac:dyDescent="0.15">
      <c r="C1037" s="53"/>
      <c r="D1037" s="50"/>
      <c r="E1037" s="51"/>
      <c r="F1037" s="52"/>
      <c r="G1037" s="53"/>
      <c r="H1037" s="53"/>
    </row>
    <row r="1038" spans="3:8" x14ac:dyDescent="0.15">
      <c r="C1038" s="53"/>
      <c r="D1038" s="50"/>
      <c r="E1038" s="51"/>
      <c r="F1038" s="52"/>
      <c r="G1038" s="53"/>
      <c r="H1038" s="53"/>
    </row>
    <row r="1039" spans="3:8" x14ac:dyDescent="0.15">
      <c r="C1039" s="53"/>
      <c r="D1039" s="50"/>
      <c r="E1039" s="51"/>
      <c r="F1039" s="52"/>
      <c r="G1039" s="53"/>
      <c r="H1039" s="53"/>
    </row>
    <row r="1040" spans="3:8" x14ac:dyDescent="0.15">
      <c r="C1040" s="53"/>
      <c r="D1040" s="50"/>
      <c r="E1040" s="51"/>
      <c r="F1040" s="52"/>
      <c r="G1040" s="53"/>
      <c r="H1040" s="53"/>
    </row>
    <row r="1041" spans="3:8" x14ac:dyDescent="0.15">
      <c r="C1041" s="53"/>
      <c r="D1041" s="50"/>
      <c r="E1041" s="51"/>
      <c r="F1041" s="52"/>
      <c r="G1041" s="53"/>
      <c r="H1041" s="53"/>
    </row>
    <row r="1042" spans="3:8" x14ac:dyDescent="0.15">
      <c r="C1042" s="53"/>
      <c r="D1042" s="50"/>
      <c r="E1042" s="51"/>
      <c r="F1042" s="52"/>
      <c r="G1042" s="53"/>
      <c r="H1042" s="53"/>
    </row>
    <row r="1043" spans="3:8" x14ac:dyDescent="0.15">
      <c r="C1043" s="53"/>
      <c r="D1043" s="50"/>
      <c r="E1043" s="51"/>
      <c r="F1043" s="52"/>
      <c r="G1043" s="53"/>
      <c r="H1043" s="53"/>
    </row>
    <row r="1044" spans="3:8" x14ac:dyDescent="0.15">
      <c r="C1044" s="53"/>
      <c r="D1044" s="50"/>
      <c r="E1044" s="51"/>
      <c r="F1044" s="52"/>
      <c r="G1044" s="53"/>
      <c r="H1044" s="53"/>
    </row>
    <row r="1045" spans="3:8" x14ac:dyDescent="0.15">
      <c r="C1045" s="53"/>
      <c r="D1045" s="50"/>
      <c r="E1045" s="51"/>
      <c r="F1045" s="52"/>
      <c r="G1045" s="53"/>
      <c r="H1045" s="53"/>
    </row>
    <row r="1046" spans="3:8" x14ac:dyDescent="0.15">
      <c r="C1046" s="53"/>
      <c r="D1046" s="50"/>
      <c r="E1046" s="51"/>
      <c r="F1046" s="52"/>
      <c r="G1046" s="53"/>
      <c r="H1046" s="53"/>
    </row>
    <row r="1047" spans="3:8" x14ac:dyDescent="0.15">
      <c r="C1047" s="53"/>
      <c r="D1047" s="50"/>
      <c r="E1047" s="51"/>
      <c r="F1047" s="52"/>
      <c r="G1047" s="53"/>
      <c r="H1047" s="53"/>
    </row>
    <row r="1048" spans="3:8" x14ac:dyDescent="0.15">
      <c r="C1048" s="53"/>
      <c r="D1048" s="50"/>
      <c r="E1048" s="51"/>
      <c r="F1048" s="52"/>
      <c r="G1048" s="53"/>
      <c r="H1048" s="53"/>
    </row>
    <row r="1049" spans="3:8" x14ac:dyDescent="0.15">
      <c r="C1049" s="53"/>
      <c r="D1049" s="50"/>
      <c r="E1049" s="51"/>
      <c r="F1049" s="52"/>
      <c r="G1049" s="53"/>
      <c r="H1049" s="53"/>
    </row>
    <row r="1050" spans="3:8" x14ac:dyDescent="0.15">
      <c r="C1050" s="53"/>
      <c r="D1050" s="50"/>
      <c r="E1050" s="51"/>
      <c r="F1050" s="52"/>
      <c r="G1050" s="53"/>
      <c r="H1050" s="53"/>
    </row>
    <row r="1051" spans="3:8" x14ac:dyDescent="0.15">
      <c r="C1051" s="53"/>
      <c r="D1051" s="50"/>
      <c r="E1051" s="51"/>
      <c r="F1051" s="52"/>
      <c r="G1051" s="53"/>
      <c r="H1051" s="53"/>
    </row>
    <row r="1052" spans="3:8" x14ac:dyDescent="0.15">
      <c r="C1052" s="53"/>
      <c r="D1052" s="50"/>
      <c r="E1052" s="51"/>
      <c r="F1052" s="52"/>
      <c r="G1052" s="53"/>
      <c r="H1052" s="53"/>
    </row>
    <row r="1053" spans="3:8" x14ac:dyDescent="0.15">
      <c r="C1053" s="53"/>
      <c r="D1053" s="50"/>
      <c r="E1053" s="51"/>
      <c r="F1053" s="52"/>
      <c r="G1053" s="53"/>
      <c r="H1053" s="53"/>
    </row>
    <row r="1054" spans="3:8" x14ac:dyDescent="0.15">
      <c r="C1054" s="53"/>
      <c r="D1054" s="50"/>
      <c r="E1054" s="51"/>
      <c r="F1054" s="52"/>
      <c r="G1054" s="53"/>
      <c r="H1054" s="53"/>
    </row>
    <row r="1055" spans="3:8" x14ac:dyDescent="0.15">
      <c r="C1055" s="53"/>
      <c r="D1055" s="50"/>
      <c r="E1055" s="51"/>
      <c r="F1055" s="52"/>
      <c r="G1055" s="53"/>
      <c r="H1055" s="53"/>
    </row>
    <row r="1056" spans="3:8" x14ac:dyDescent="0.15">
      <c r="C1056" s="53"/>
      <c r="D1056" s="50"/>
      <c r="E1056" s="51"/>
      <c r="F1056" s="52"/>
      <c r="G1056" s="53"/>
      <c r="H1056" s="53"/>
    </row>
    <row r="1057" spans="3:8" x14ac:dyDescent="0.15">
      <c r="C1057" s="53"/>
      <c r="D1057" s="50"/>
      <c r="E1057" s="51"/>
      <c r="F1057" s="52"/>
      <c r="G1057" s="53"/>
      <c r="H1057" s="53"/>
    </row>
    <row r="1058" spans="3:8" x14ac:dyDescent="0.15">
      <c r="C1058" s="53"/>
      <c r="D1058" s="50"/>
      <c r="E1058" s="51"/>
      <c r="F1058" s="52"/>
      <c r="G1058" s="53"/>
      <c r="H1058" s="53"/>
    </row>
    <row r="1059" spans="3:8" x14ac:dyDescent="0.15">
      <c r="C1059" s="53"/>
      <c r="D1059" s="50"/>
      <c r="E1059" s="51"/>
      <c r="F1059" s="52"/>
      <c r="G1059" s="53"/>
      <c r="H1059" s="53"/>
    </row>
    <row r="1060" spans="3:8" x14ac:dyDescent="0.15">
      <c r="C1060" s="53"/>
      <c r="D1060" s="50"/>
      <c r="E1060" s="51"/>
      <c r="F1060" s="52"/>
      <c r="G1060" s="53"/>
      <c r="H1060" s="53"/>
    </row>
    <row r="1061" spans="3:8" x14ac:dyDescent="0.15">
      <c r="C1061" s="53"/>
      <c r="D1061" s="50"/>
      <c r="E1061" s="51"/>
      <c r="F1061" s="52"/>
      <c r="G1061" s="53"/>
      <c r="H1061" s="53"/>
    </row>
    <row r="1062" spans="3:8" x14ac:dyDescent="0.15">
      <c r="C1062" s="53"/>
      <c r="D1062" s="50"/>
      <c r="E1062" s="51"/>
      <c r="F1062" s="52"/>
      <c r="G1062" s="53"/>
      <c r="H1062" s="53"/>
    </row>
    <row r="1063" spans="3:8" x14ac:dyDescent="0.15">
      <c r="C1063" s="53"/>
      <c r="D1063" s="50"/>
      <c r="E1063" s="51"/>
      <c r="F1063" s="52"/>
      <c r="G1063" s="53"/>
      <c r="H1063" s="53"/>
    </row>
    <row r="1064" spans="3:8" x14ac:dyDescent="0.15">
      <c r="C1064" s="53"/>
      <c r="D1064" s="50"/>
      <c r="E1064" s="51"/>
      <c r="F1064" s="52"/>
      <c r="G1064" s="53"/>
      <c r="H1064" s="53"/>
    </row>
    <row r="1065" spans="3:8" x14ac:dyDescent="0.15">
      <c r="C1065" s="53"/>
      <c r="D1065" s="50"/>
      <c r="E1065" s="51"/>
      <c r="F1065" s="52"/>
      <c r="G1065" s="53"/>
      <c r="H1065" s="53"/>
    </row>
    <row r="1066" spans="3:8" x14ac:dyDescent="0.15">
      <c r="C1066" s="53"/>
      <c r="D1066" s="50"/>
      <c r="E1066" s="51"/>
      <c r="F1066" s="52"/>
      <c r="G1066" s="53"/>
      <c r="H1066" s="53"/>
    </row>
    <row r="1067" spans="3:8" x14ac:dyDescent="0.15">
      <c r="C1067" s="53"/>
      <c r="D1067" s="50"/>
      <c r="E1067" s="51"/>
      <c r="F1067" s="52"/>
      <c r="G1067" s="53"/>
      <c r="H1067" s="53"/>
    </row>
    <row r="1068" spans="3:8" x14ac:dyDescent="0.15">
      <c r="C1068" s="53"/>
      <c r="D1068" s="50"/>
      <c r="E1068" s="51"/>
      <c r="F1068" s="52"/>
      <c r="G1068" s="53"/>
      <c r="H1068" s="53"/>
    </row>
    <row r="1069" spans="3:8" x14ac:dyDescent="0.15">
      <c r="C1069" s="53"/>
      <c r="D1069" s="50"/>
      <c r="E1069" s="51"/>
      <c r="F1069" s="52"/>
      <c r="G1069" s="53"/>
      <c r="H1069" s="53"/>
    </row>
    <row r="1070" spans="3:8" x14ac:dyDescent="0.15">
      <c r="C1070" s="53"/>
      <c r="D1070" s="50"/>
      <c r="E1070" s="51"/>
      <c r="F1070" s="52"/>
      <c r="G1070" s="53"/>
      <c r="H1070" s="53"/>
    </row>
    <row r="1071" spans="3:8" x14ac:dyDescent="0.15">
      <c r="C1071" s="53"/>
      <c r="D1071" s="50"/>
      <c r="E1071" s="51"/>
      <c r="F1071" s="52"/>
      <c r="G1071" s="53"/>
      <c r="H1071" s="53"/>
    </row>
    <row r="1072" spans="3:8" x14ac:dyDescent="0.15">
      <c r="C1072" s="53"/>
      <c r="D1072" s="50"/>
      <c r="E1072" s="51"/>
      <c r="F1072" s="52"/>
      <c r="G1072" s="53"/>
      <c r="H1072" s="53"/>
    </row>
    <row r="1073" spans="3:8" x14ac:dyDescent="0.15">
      <c r="C1073" s="53"/>
      <c r="D1073" s="50"/>
      <c r="E1073" s="51"/>
      <c r="F1073" s="52"/>
      <c r="G1073" s="53"/>
      <c r="H1073" s="53"/>
    </row>
    <row r="1074" spans="3:8" x14ac:dyDescent="0.15">
      <c r="C1074" s="53"/>
      <c r="D1074" s="50"/>
      <c r="E1074" s="51"/>
      <c r="F1074" s="52"/>
      <c r="G1074" s="53"/>
      <c r="H1074" s="53"/>
    </row>
    <row r="1075" spans="3:8" x14ac:dyDescent="0.15">
      <c r="C1075" s="53"/>
      <c r="D1075" s="50"/>
      <c r="E1075" s="51"/>
      <c r="F1075" s="52"/>
      <c r="G1075" s="53"/>
      <c r="H1075" s="53"/>
    </row>
    <row r="1076" spans="3:8" x14ac:dyDescent="0.15">
      <c r="C1076" s="53"/>
      <c r="D1076" s="50"/>
      <c r="E1076" s="51"/>
      <c r="F1076" s="52"/>
      <c r="G1076" s="53"/>
      <c r="H1076" s="53"/>
    </row>
    <row r="1077" spans="3:8" x14ac:dyDescent="0.15">
      <c r="C1077" s="53"/>
      <c r="D1077" s="50"/>
      <c r="E1077" s="51"/>
      <c r="F1077" s="52"/>
      <c r="G1077" s="53"/>
      <c r="H1077" s="53"/>
    </row>
    <row r="1078" spans="3:8" x14ac:dyDescent="0.15">
      <c r="C1078" s="53"/>
      <c r="D1078" s="50"/>
      <c r="E1078" s="51"/>
      <c r="F1078" s="52"/>
      <c r="G1078" s="53"/>
      <c r="H1078" s="53"/>
    </row>
    <row r="1079" spans="3:8" x14ac:dyDescent="0.15">
      <c r="C1079" s="53"/>
      <c r="D1079" s="50"/>
      <c r="E1079" s="51"/>
      <c r="F1079" s="52"/>
      <c r="G1079" s="53"/>
      <c r="H1079" s="53"/>
    </row>
    <row r="1080" spans="3:8" x14ac:dyDescent="0.15">
      <c r="C1080" s="53"/>
      <c r="D1080" s="50"/>
      <c r="E1080" s="51"/>
      <c r="F1080" s="52"/>
      <c r="G1080" s="53"/>
      <c r="H1080" s="53"/>
    </row>
    <row r="1081" spans="3:8" x14ac:dyDescent="0.15">
      <c r="C1081" s="53"/>
      <c r="D1081" s="50"/>
      <c r="E1081" s="51"/>
      <c r="F1081" s="52"/>
      <c r="G1081" s="53"/>
      <c r="H1081" s="53"/>
    </row>
    <row r="1082" spans="3:8" x14ac:dyDescent="0.15">
      <c r="C1082" s="53"/>
      <c r="D1082" s="50"/>
      <c r="E1082" s="51"/>
      <c r="F1082" s="52"/>
      <c r="G1082" s="53"/>
      <c r="H1082" s="53"/>
    </row>
    <row r="1083" spans="3:8" x14ac:dyDescent="0.15">
      <c r="C1083" s="53"/>
      <c r="D1083" s="50"/>
      <c r="E1083" s="51"/>
      <c r="F1083" s="52"/>
      <c r="G1083" s="53"/>
      <c r="H1083" s="53"/>
    </row>
    <row r="1084" spans="3:8" x14ac:dyDescent="0.15">
      <c r="C1084" s="53"/>
      <c r="D1084" s="50"/>
      <c r="E1084" s="51"/>
      <c r="F1084" s="52"/>
      <c r="G1084" s="53"/>
      <c r="H1084" s="53"/>
    </row>
    <row r="1085" spans="3:8" x14ac:dyDescent="0.15">
      <c r="C1085" s="53"/>
      <c r="D1085" s="50"/>
      <c r="E1085" s="51"/>
      <c r="F1085" s="52"/>
      <c r="G1085" s="53"/>
      <c r="H1085" s="53"/>
    </row>
    <row r="1086" spans="3:8" x14ac:dyDescent="0.15">
      <c r="C1086" s="53"/>
      <c r="D1086" s="50"/>
      <c r="E1086" s="51"/>
      <c r="F1086" s="52"/>
      <c r="G1086" s="53"/>
      <c r="H1086" s="53"/>
    </row>
    <row r="1087" spans="3:8" x14ac:dyDescent="0.15">
      <c r="C1087" s="53"/>
      <c r="D1087" s="50"/>
      <c r="E1087" s="51"/>
      <c r="F1087" s="52"/>
      <c r="G1087" s="53"/>
      <c r="H1087" s="53"/>
    </row>
    <row r="1088" spans="3:8" x14ac:dyDescent="0.15">
      <c r="C1088" s="53"/>
      <c r="D1088" s="50"/>
      <c r="E1088" s="51"/>
      <c r="F1088" s="52"/>
      <c r="G1088" s="53"/>
      <c r="H1088" s="53"/>
    </row>
    <row r="1089" spans="3:8" x14ac:dyDescent="0.15">
      <c r="C1089" s="53"/>
      <c r="D1089" s="50"/>
      <c r="E1089" s="51"/>
      <c r="F1089" s="52"/>
      <c r="G1089" s="53"/>
      <c r="H1089" s="53"/>
    </row>
    <row r="1090" spans="3:8" x14ac:dyDescent="0.15">
      <c r="C1090" s="53"/>
      <c r="D1090" s="50"/>
      <c r="E1090" s="51"/>
      <c r="F1090" s="52"/>
      <c r="G1090" s="53"/>
      <c r="H1090" s="53"/>
    </row>
    <row r="1091" spans="3:8" x14ac:dyDescent="0.15">
      <c r="C1091" s="53"/>
      <c r="D1091" s="50"/>
      <c r="E1091" s="51"/>
      <c r="F1091" s="52"/>
      <c r="G1091" s="53"/>
      <c r="H1091" s="53"/>
    </row>
    <row r="1092" spans="3:8" x14ac:dyDescent="0.15">
      <c r="C1092" s="53"/>
      <c r="D1092" s="50"/>
      <c r="E1092" s="51"/>
      <c r="F1092" s="52"/>
      <c r="G1092" s="53"/>
      <c r="H1092" s="53"/>
    </row>
    <row r="1093" spans="3:8" x14ac:dyDescent="0.15">
      <c r="C1093" s="53"/>
      <c r="D1093" s="50"/>
      <c r="E1093" s="51"/>
      <c r="F1093" s="52"/>
      <c r="G1093" s="53"/>
      <c r="H1093" s="53"/>
    </row>
    <row r="1094" spans="3:8" x14ac:dyDescent="0.15">
      <c r="C1094" s="53"/>
      <c r="D1094" s="50"/>
      <c r="E1094" s="51"/>
      <c r="F1094" s="52"/>
      <c r="G1094" s="53"/>
      <c r="H1094" s="53"/>
    </row>
    <row r="1095" spans="3:8" x14ac:dyDescent="0.15">
      <c r="C1095" s="53"/>
      <c r="D1095" s="50"/>
      <c r="E1095" s="51"/>
      <c r="F1095" s="52"/>
      <c r="G1095" s="53"/>
      <c r="H1095" s="53"/>
    </row>
    <row r="1096" spans="3:8" x14ac:dyDescent="0.15">
      <c r="C1096" s="53"/>
      <c r="D1096" s="50"/>
      <c r="E1096" s="51"/>
      <c r="F1096" s="52"/>
      <c r="G1096" s="53"/>
      <c r="H1096" s="53"/>
    </row>
    <row r="1097" spans="3:8" x14ac:dyDescent="0.15">
      <c r="C1097" s="53"/>
      <c r="D1097" s="50"/>
      <c r="E1097" s="51"/>
      <c r="F1097" s="52"/>
      <c r="G1097" s="53"/>
      <c r="H1097" s="53"/>
    </row>
    <row r="1098" spans="3:8" x14ac:dyDescent="0.15">
      <c r="C1098" s="53"/>
      <c r="D1098" s="50"/>
      <c r="E1098" s="51"/>
      <c r="F1098" s="52"/>
      <c r="G1098" s="53"/>
      <c r="H1098" s="53"/>
    </row>
    <row r="1099" spans="3:8" x14ac:dyDescent="0.15">
      <c r="C1099" s="53"/>
      <c r="D1099" s="50"/>
      <c r="E1099" s="51"/>
      <c r="F1099" s="52"/>
      <c r="G1099" s="53"/>
      <c r="H1099" s="53"/>
    </row>
    <row r="1100" spans="3:8" x14ac:dyDescent="0.15">
      <c r="C1100" s="53"/>
      <c r="D1100" s="50"/>
      <c r="E1100" s="51"/>
      <c r="F1100" s="52"/>
      <c r="G1100" s="53"/>
      <c r="H1100" s="53"/>
    </row>
    <row r="1101" spans="3:8" x14ac:dyDescent="0.15">
      <c r="C1101" s="53"/>
      <c r="D1101" s="50"/>
      <c r="E1101" s="51"/>
      <c r="F1101" s="52"/>
      <c r="G1101" s="53"/>
      <c r="H1101" s="53"/>
    </row>
    <row r="1102" spans="3:8" x14ac:dyDescent="0.15">
      <c r="C1102" s="53"/>
      <c r="D1102" s="50"/>
      <c r="E1102" s="51"/>
      <c r="F1102" s="52"/>
      <c r="G1102" s="53"/>
      <c r="H1102" s="53"/>
    </row>
    <row r="1103" spans="3:8" x14ac:dyDescent="0.15">
      <c r="C1103" s="53"/>
      <c r="D1103" s="50"/>
      <c r="E1103" s="51"/>
      <c r="F1103" s="52"/>
      <c r="G1103" s="53"/>
      <c r="H1103" s="53"/>
    </row>
    <row r="1104" spans="3:8" x14ac:dyDescent="0.15">
      <c r="C1104" s="53"/>
      <c r="D1104" s="50"/>
      <c r="E1104" s="51"/>
      <c r="F1104" s="52"/>
      <c r="G1104" s="53"/>
      <c r="H1104" s="53"/>
    </row>
    <row r="1105" spans="3:8" x14ac:dyDescent="0.15">
      <c r="C1105" s="53"/>
      <c r="D1105" s="50"/>
      <c r="E1105" s="51"/>
      <c r="F1105" s="52"/>
      <c r="G1105" s="53"/>
      <c r="H1105" s="53"/>
    </row>
    <row r="1106" spans="3:8" x14ac:dyDescent="0.15">
      <c r="C1106" s="53"/>
      <c r="D1106" s="50"/>
      <c r="E1106" s="51"/>
      <c r="F1106" s="52"/>
      <c r="G1106" s="53"/>
      <c r="H1106" s="53"/>
    </row>
    <row r="1107" spans="3:8" x14ac:dyDescent="0.15">
      <c r="C1107" s="53"/>
      <c r="D1107" s="50"/>
      <c r="E1107" s="51"/>
      <c r="F1107" s="52"/>
      <c r="G1107" s="53"/>
      <c r="H1107" s="53"/>
    </row>
    <row r="1108" spans="3:8" x14ac:dyDescent="0.15">
      <c r="C1108" s="53"/>
      <c r="D1108" s="50"/>
      <c r="E1108" s="51"/>
      <c r="F1108" s="52"/>
      <c r="G1108" s="53"/>
      <c r="H1108" s="53"/>
    </row>
    <row r="1109" spans="3:8" x14ac:dyDescent="0.15">
      <c r="C1109" s="53"/>
      <c r="D1109" s="50"/>
      <c r="E1109" s="51"/>
      <c r="F1109" s="52"/>
      <c r="G1109" s="53"/>
      <c r="H1109" s="53"/>
    </row>
    <row r="1110" spans="3:8" x14ac:dyDescent="0.15">
      <c r="C1110" s="53"/>
      <c r="D1110" s="50"/>
      <c r="E1110" s="51"/>
      <c r="F1110" s="52"/>
      <c r="G1110" s="53"/>
      <c r="H1110" s="53"/>
    </row>
    <row r="1111" spans="3:8" x14ac:dyDescent="0.15">
      <c r="C1111" s="53"/>
      <c r="D1111" s="50"/>
      <c r="E1111" s="51"/>
      <c r="F1111" s="52"/>
      <c r="G1111" s="53"/>
      <c r="H1111" s="53"/>
    </row>
    <row r="1112" spans="3:8" x14ac:dyDescent="0.15">
      <c r="C1112" s="53"/>
      <c r="D1112" s="50"/>
      <c r="E1112" s="51"/>
      <c r="F1112" s="52"/>
      <c r="G1112" s="53"/>
      <c r="H1112" s="53"/>
    </row>
    <row r="1113" spans="3:8" x14ac:dyDescent="0.15">
      <c r="C1113" s="53"/>
      <c r="D1113" s="50"/>
      <c r="E1113" s="51"/>
      <c r="F1113" s="52"/>
      <c r="G1113" s="53"/>
      <c r="H1113" s="53"/>
    </row>
    <row r="1114" spans="3:8" x14ac:dyDescent="0.15">
      <c r="C1114" s="53"/>
      <c r="D1114" s="50"/>
      <c r="E1114" s="51"/>
      <c r="F1114" s="52"/>
      <c r="G1114" s="53"/>
      <c r="H1114" s="53"/>
    </row>
    <row r="1115" spans="3:8" x14ac:dyDescent="0.15">
      <c r="C1115" s="53"/>
      <c r="D1115" s="50"/>
      <c r="E1115" s="51"/>
      <c r="F1115" s="52"/>
      <c r="G1115" s="53"/>
      <c r="H1115" s="53"/>
    </row>
    <row r="1116" spans="3:8" x14ac:dyDescent="0.15">
      <c r="C1116" s="53"/>
      <c r="D1116" s="50"/>
      <c r="E1116" s="51"/>
      <c r="F1116" s="52"/>
      <c r="G1116" s="53"/>
      <c r="H1116" s="53"/>
    </row>
    <row r="1117" spans="3:8" x14ac:dyDescent="0.15">
      <c r="C1117" s="53"/>
      <c r="D1117" s="50"/>
      <c r="E1117" s="51"/>
      <c r="F1117" s="52"/>
      <c r="G1117" s="53"/>
      <c r="H1117" s="53"/>
    </row>
    <row r="1118" spans="3:8" x14ac:dyDescent="0.15">
      <c r="C1118" s="53"/>
      <c r="D1118" s="50"/>
      <c r="E1118" s="51"/>
      <c r="F1118" s="52"/>
      <c r="G1118" s="53"/>
      <c r="H1118" s="53"/>
    </row>
    <row r="1119" spans="3:8" x14ac:dyDescent="0.15">
      <c r="C1119" s="53"/>
      <c r="D1119" s="50"/>
      <c r="E1119" s="51"/>
      <c r="F1119" s="52"/>
      <c r="G1119" s="53"/>
      <c r="H1119" s="53"/>
    </row>
    <row r="1120" spans="3:8" x14ac:dyDescent="0.15">
      <c r="C1120" s="53"/>
      <c r="D1120" s="50"/>
      <c r="E1120" s="51"/>
      <c r="F1120" s="52"/>
      <c r="G1120" s="53"/>
      <c r="H1120" s="53"/>
    </row>
    <row r="1121" spans="3:8" x14ac:dyDescent="0.15">
      <c r="C1121" s="53"/>
      <c r="D1121" s="50"/>
      <c r="E1121" s="51"/>
      <c r="F1121" s="52"/>
      <c r="G1121" s="53"/>
      <c r="H1121" s="53"/>
    </row>
    <row r="1122" spans="3:8" x14ac:dyDescent="0.15">
      <c r="C1122" s="53"/>
      <c r="D1122" s="50"/>
      <c r="E1122" s="51"/>
      <c r="F1122" s="52"/>
      <c r="G1122" s="53"/>
      <c r="H1122" s="53"/>
    </row>
    <row r="1123" spans="3:8" x14ac:dyDescent="0.15">
      <c r="C1123" s="53"/>
      <c r="D1123" s="50"/>
      <c r="E1123" s="51"/>
      <c r="F1123" s="52"/>
      <c r="G1123" s="53"/>
      <c r="H1123" s="53"/>
    </row>
    <row r="1124" spans="3:8" x14ac:dyDescent="0.15">
      <c r="C1124" s="53"/>
      <c r="D1124" s="50"/>
      <c r="E1124" s="51"/>
      <c r="F1124" s="52"/>
      <c r="G1124" s="53"/>
      <c r="H1124" s="53"/>
    </row>
    <row r="1125" spans="3:8" x14ac:dyDescent="0.15">
      <c r="C1125" s="53"/>
      <c r="D1125" s="50"/>
      <c r="E1125" s="51"/>
      <c r="F1125" s="52"/>
      <c r="G1125" s="53"/>
      <c r="H1125" s="53"/>
    </row>
    <row r="1126" spans="3:8" x14ac:dyDescent="0.15">
      <c r="C1126" s="53"/>
      <c r="D1126" s="50"/>
      <c r="E1126" s="51"/>
      <c r="F1126" s="52"/>
      <c r="G1126" s="53"/>
      <c r="H1126" s="53"/>
    </row>
    <row r="1127" spans="3:8" x14ac:dyDescent="0.15">
      <c r="C1127" s="53"/>
      <c r="D1127" s="50"/>
      <c r="E1127" s="51"/>
      <c r="F1127" s="52"/>
      <c r="G1127" s="53"/>
      <c r="H1127" s="53"/>
    </row>
    <row r="1128" spans="3:8" x14ac:dyDescent="0.15">
      <c r="C1128" s="53"/>
      <c r="D1128" s="50"/>
      <c r="E1128" s="51"/>
      <c r="F1128" s="52"/>
      <c r="G1128" s="53"/>
      <c r="H1128" s="53"/>
    </row>
    <row r="1129" spans="3:8" x14ac:dyDescent="0.15">
      <c r="C1129" s="53"/>
      <c r="D1129" s="50"/>
      <c r="E1129" s="51"/>
      <c r="F1129" s="52"/>
      <c r="G1129" s="53"/>
      <c r="H1129" s="53"/>
    </row>
    <row r="1130" spans="3:8" x14ac:dyDescent="0.15">
      <c r="C1130" s="53"/>
      <c r="D1130" s="50"/>
      <c r="E1130" s="51"/>
      <c r="F1130" s="52"/>
      <c r="G1130" s="53"/>
      <c r="H1130" s="53"/>
    </row>
    <row r="1131" spans="3:8" x14ac:dyDescent="0.15">
      <c r="C1131" s="53"/>
      <c r="D1131" s="50"/>
      <c r="E1131" s="51"/>
      <c r="F1131" s="52"/>
      <c r="G1131" s="53"/>
      <c r="H1131" s="53"/>
    </row>
    <row r="1132" spans="3:8" x14ac:dyDescent="0.15">
      <c r="C1132" s="53"/>
      <c r="D1132" s="50"/>
      <c r="E1132" s="51"/>
      <c r="F1132" s="52"/>
      <c r="G1132" s="53"/>
      <c r="H1132" s="53"/>
    </row>
    <row r="1133" spans="3:8" x14ac:dyDescent="0.15">
      <c r="C1133" s="53"/>
      <c r="D1133" s="50"/>
      <c r="E1133" s="51"/>
      <c r="F1133" s="52"/>
      <c r="G1133" s="53"/>
      <c r="H1133" s="53"/>
    </row>
    <row r="1134" spans="3:8" x14ac:dyDescent="0.15">
      <c r="C1134" s="53"/>
      <c r="D1134" s="50"/>
      <c r="E1134" s="51"/>
      <c r="F1134" s="52"/>
      <c r="G1134" s="53"/>
      <c r="H1134" s="53"/>
    </row>
    <row r="1135" spans="3:8" x14ac:dyDescent="0.15">
      <c r="C1135" s="53"/>
      <c r="D1135" s="50"/>
      <c r="E1135" s="51"/>
      <c r="F1135" s="52"/>
      <c r="G1135" s="53"/>
      <c r="H1135" s="53"/>
    </row>
    <row r="1136" spans="3:8" x14ac:dyDescent="0.15">
      <c r="C1136" s="53"/>
      <c r="D1136" s="50"/>
      <c r="E1136" s="51"/>
      <c r="F1136" s="52"/>
      <c r="G1136" s="53"/>
      <c r="H1136" s="53"/>
    </row>
    <row r="1137" spans="3:8" x14ac:dyDescent="0.15">
      <c r="C1137" s="53"/>
      <c r="D1137" s="50"/>
      <c r="E1137" s="51"/>
      <c r="F1137" s="52"/>
      <c r="G1137" s="53"/>
      <c r="H1137" s="53"/>
    </row>
    <row r="1138" spans="3:8" x14ac:dyDescent="0.15">
      <c r="C1138" s="53"/>
      <c r="D1138" s="50"/>
      <c r="E1138" s="51"/>
      <c r="F1138" s="52"/>
      <c r="G1138" s="53"/>
      <c r="H1138" s="53"/>
    </row>
    <row r="1139" spans="3:8" x14ac:dyDescent="0.15">
      <c r="C1139" s="53"/>
      <c r="D1139" s="50"/>
      <c r="E1139" s="51"/>
      <c r="F1139" s="52"/>
      <c r="G1139" s="53"/>
      <c r="H1139" s="53"/>
    </row>
    <row r="1140" spans="3:8" x14ac:dyDescent="0.15">
      <c r="C1140" s="53"/>
      <c r="D1140" s="50"/>
      <c r="E1140" s="51"/>
      <c r="F1140" s="52"/>
      <c r="G1140" s="53"/>
      <c r="H1140" s="53"/>
    </row>
    <row r="1141" spans="3:8" x14ac:dyDescent="0.15">
      <c r="C1141" s="53"/>
      <c r="D1141" s="50"/>
      <c r="E1141" s="51"/>
      <c r="F1141" s="52"/>
      <c r="G1141" s="53"/>
      <c r="H1141" s="53"/>
    </row>
    <row r="1142" spans="3:8" x14ac:dyDescent="0.15">
      <c r="C1142" s="53"/>
      <c r="D1142" s="50"/>
      <c r="E1142" s="51"/>
      <c r="F1142" s="52"/>
      <c r="G1142" s="53"/>
      <c r="H1142" s="53"/>
    </row>
    <row r="1143" spans="3:8" x14ac:dyDescent="0.15">
      <c r="C1143" s="53"/>
      <c r="D1143" s="50"/>
      <c r="E1143" s="51"/>
      <c r="F1143" s="52"/>
      <c r="G1143" s="53"/>
      <c r="H1143" s="53"/>
    </row>
    <row r="1144" spans="3:8" x14ac:dyDescent="0.15">
      <c r="C1144" s="53"/>
      <c r="D1144" s="50"/>
      <c r="E1144" s="51"/>
      <c r="F1144" s="52"/>
      <c r="G1144" s="53"/>
      <c r="H1144" s="53"/>
    </row>
    <row r="1145" spans="3:8" x14ac:dyDescent="0.15">
      <c r="C1145" s="53"/>
      <c r="D1145" s="50"/>
      <c r="E1145" s="51"/>
      <c r="F1145" s="52"/>
      <c r="G1145" s="53"/>
      <c r="H1145" s="53"/>
    </row>
    <row r="1146" spans="3:8" x14ac:dyDescent="0.15">
      <c r="C1146" s="53"/>
      <c r="D1146" s="50"/>
      <c r="E1146" s="51"/>
      <c r="F1146" s="52"/>
      <c r="G1146" s="53"/>
      <c r="H1146" s="53"/>
    </row>
    <row r="1147" spans="3:8" x14ac:dyDescent="0.15">
      <c r="C1147" s="53"/>
      <c r="D1147" s="50"/>
      <c r="E1147" s="51"/>
      <c r="F1147" s="52"/>
      <c r="G1147" s="53"/>
      <c r="H1147" s="53"/>
    </row>
    <row r="1148" spans="3:8" x14ac:dyDescent="0.15">
      <c r="C1148" s="53"/>
      <c r="D1148" s="50"/>
      <c r="E1148" s="51"/>
      <c r="F1148" s="52"/>
      <c r="G1148" s="53"/>
      <c r="H1148" s="53"/>
    </row>
    <row r="1149" spans="3:8" x14ac:dyDescent="0.15">
      <c r="C1149" s="53"/>
      <c r="D1149" s="50"/>
      <c r="E1149" s="51"/>
      <c r="F1149" s="52"/>
      <c r="G1149" s="53"/>
      <c r="H1149" s="53"/>
    </row>
    <row r="1150" spans="3:8" x14ac:dyDescent="0.15">
      <c r="C1150" s="53"/>
      <c r="D1150" s="50"/>
      <c r="E1150" s="51"/>
      <c r="F1150" s="52"/>
      <c r="G1150" s="53"/>
      <c r="H1150" s="53"/>
    </row>
    <row r="1151" spans="3:8" x14ac:dyDescent="0.15">
      <c r="C1151" s="53"/>
      <c r="D1151" s="50"/>
      <c r="E1151" s="51"/>
      <c r="F1151" s="52"/>
      <c r="G1151" s="53"/>
      <c r="H1151" s="53"/>
    </row>
    <row r="1152" spans="3:8" x14ac:dyDescent="0.15">
      <c r="C1152" s="53"/>
      <c r="D1152" s="50"/>
      <c r="E1152" s="51"/>
      <c r="F1152" s="52"/>
      <c r="G1152" s="53"/>
      <c r="H1152" s="53"/>
    </row>
    <row r="1153" spans="3:8" x14ac:dyDescent="0.15">
      <c r="C1153" s="53"/>
      <c r="D1153" s="50"/>
      <c r="E1153" s="51"/>
      <c r="F1153" s="52"/>
      <c r="G1153" s="53"/>
      <c r="H1153" s="53"/>
    </row>
    <row r="1154" spans="3:8" x14ac:dyDescent="0.15">
      <c r="C1154" s="53"/>
      <c r="D1154" s="50"/>
      <c r="E1154" s="51"/>
      <c r="F1154" s="52"/>
      <c r="G1154" s="53"/>
      <c r="H1154" s="53"/>
    </row>
    <row r="1155" spans="3:8" x14ac:dyDescent="0.15">
      <c r="C1155" s="53"/>
      <c r="D1155" s="50"/>
      <c r="E1155" s="51"/>
      <c r="F1155" s="52"/>
      <c r="G1155" s="53"/>
      <c r="H1155" s="53"/>
    </row>
    <row r="1156" spans="3:8" x14ac:dyDescent="0.15">
      <c r="C1156" s="53"/>
      <c r="D1156" s="50"/>
      <c r="E1156" s="51"/>
      <c r="F1156" s="52"/>
      <c r="G1156" s="53"/>
      <c r="H1156" s="53"/>
    </row>
    <row r="1157" spans="3:8" x14ac:dyDescent="0.15">
      <c r="C1157" s="53"/>
      <c r="D1157" s="50"/>
      <c r="E1157" s="51"/>
      <c r="F1157" s="52"/>
      <c r="G1157" s="53"/>
      <c r="H1157" s="53"/>
    </row>
    <row r="1158" spans="3:8" x14ac:dyDescent="0.15">
      <c r="C1158" s="53"/>
      <c r="D1158" s="50"/>
      <c r="E1158" s="51"/>
      <c r="F1158" s="52"/>
      <c r="G1158" s="53"/>
      <c r="H1158" s="53"/>
    </row>
    <row r="1159" spans="3:8" x14ac:dyDescent="0.15">
      <c r="C1159" s="53"/>
      <c r="D1159" s="50"/>
      <c r="E1159" s="51"/>
      <c r="F1159" s="52"/>
      <c r="G1159" s="53"/>
      <c r="H1159" s="53"/>
    </row>
    <row r="1160" spans="3:8" x14ac:dyDescent="0.15">
      <c r="C1160" s="53"/>
      <c r="D1160" s="50"/>
      <c r="E1160" s="51"/>
      <c r="F1160" s="52"/>
      <c r="G1160" s="53"/>
      <c r="H1160" s="53"/>
    </row>
    <row r="1161" spans="3:8" x14ac:dyDescent="0.15">
      <c r="C1161" s="53"/>
      <c r="D1161" s="50"/>
      <c r="E1161" s="51"/>
      <c r="F1161" s="52"/>
      <c r="G1161" s="53"/>
      <c r="H1161" s="53"/>
    </row>
    <row r="1162" spans="3:8" x14ac:dyDescent="0.15">
      <c r="C1162" s="53"/>
      <c r="D1162" s="50"/>
      <c r="E1162" s="51"/>
      <c r="F1162" s="52"/>
      <c r="G1162" s="53"/>
      <c r="H1162" s="53"/>
    </row>
    <row r="1163" spans="3:8" x14ac:dyDescent="0.15">
      <c r="C1163" s="53"/>
      <c r="D1163" s="50"/>
      <c r="E1163" s="51"/>
      <c r="F1163" s="52"/>
      <c r="G1163" s="53"/>
      <c r="H1163" s="53"/>
    </row>
    <row r="1164" spans="3:8" x14ac:dyDescent="0.15">
      <c r="C1164" s="53"/>
      <c r="D1164" s="50"/>
      <c r="E1164" s="51"/>
      <c r="F1164" s="52"/>
      <c r="G1164" s="53"/>
      <c r="H1164" s="53"/>
    </row>
    <row r="1165" spans="3:8" x14ac:dyDescent="0.15">
      <c r="C1165" s="53"/>
      <c r="D1165" s="50"/>
      <c r="E1165" s="51"/>
      <c r="F1165" s="52"/>
      <c r="G1165" s="53"/>
      <c r="H1165" s="53"/>
    </row>
    <row r="1166" spans="3:8" x14ac:dyDescent="0.15">
      <c r="C1166" s="53"/>
      <c r="D1166" s="50"/>
      <c r="E1166" s="51"/>
      <c r="F1166" s="52"/>
      <c r="G1166" s="53"/>
      <c r="H1166" s="53"/>
    </row>
    <row r="1167" spans="3:8" x14ac:dyDescent="0.15">
      <c r="C1167" s="53"/>
      <c r="D1167" s="50"/>
      <c r="E1167" s="51"/>
      <c r="F1167" s="52"/>
      <c r="G1167" s="53"/>
      <c r="H1167" s="53"/>
    </row>
    <row r="1168" spans="3:8" x14ac:dyDescent="0.15">
      <c r="C1168" s="53"/>
      <c r="D1168" s="50"/>
      <c r="E1168" s="51"/>
      <c r="F1168" s="52"/>
      <c r="G1168" s="53"/>
      <c r="H1168" s="53"/>
    </row>
    <row r="1169" spans="3:8" x14ac:dyDescent="0.15">
      <c r="C1169" s="53"/>
      <c r="D1169" s="50"/>
      <c r="E1169" s="51"/>
      <c r="F1169" s="52"/>
      <c r="G1169" s="53"/>
      <c r="H1169" s="53"/>
    </row>
    <row r="1170" spans="3:8" x14ac:dyDescent="0.15">
      <c r="C1170" s="53"/>
      <c r="D1170" s="50"/>
      <c r="E1170" s="51"/>
      <c r="F1170" s="52"/>
      <c r="G1170" s="53"/>
      <c r="H1170" s="53"/>
    </row>
    <row r="1171" spans="3:8" x14ac:dyDescent="0.15">
      <c r="C1171" s="53"/>
      <c r="D1171" s="50"/>
      <c r="E1171" s="51"/>
      <c r="F1171" s="52"/>
      <c r="G1171" s="53"/>
      <c r="H1171" s="53"/>
    </row>
    <row r="1172" spans="3:8" x14ac:dyDescent="0.15">
      <c r="C1172" s="53"/>
      <c r="D1172" s="50"/>
      <c r="E1172" s="51"/>
      <c r="F1172" s="52"/>
      <c r="G1172" s="53"/>
      <c r="H1172" s="53"/>
    </row>
    <row r="1173" spans="3:8" x14ac:dyDescent="0.15">
      <c r="C1173" s="53"/>
      <c r="D1173" s="50"/>
      <c r="E1173" s="51"/>
      <c r="F1173" s="52"/>
      <c r="G1173" s="53"/>
      <c r="H1173" s="53"/>
    </row>
    <row r="1174" spans="3:8" x14ac:dyDescent="0.15">
      <c r="C1174" s="53"/>
      <c r="D1174" s="50"/>
      <c r="E1174" s="51"/>
      <c r="F1174" s="52"/>
      <c r="G1174" s="53"/>
      <c r="H1174" s="53"/>
    </row>
    <row r="1175" spans="3:8" x14ac:dyDescent="0.15">
      <c r="C1175" s="53"/>
      <c r="D1175" s="50"/>
      <c r="E1175" s="51"/>
      <c r="F1175" s="52"/>
      <c r="G1175" s="53"/>
      <c r="H1175" s="53"/>
    </row>
    <row r="1176" spans="3:8" x14ac:dyDescent="0.15">
      <c r="C1176" s="53"/>
      <c r="D1176" s="50"/>
      <c r="E1176" s="51"/>
      <c r="F1176" s="52"/>
      <c r="G1176" s="53"/>
      <c r="H1176" s="53"/>
    </row>
    <row r="1177" spans="3:8" x14ac:dyDescent="0.15">
      <c r="C1177" s="53"/>
      <c r="D1177" s="50"/>
      <c r="E1177" s="51"/>
      <c r="F1177" s="52"/>
      <c r="G1177" s="53"/>
      <c r="H1177" s="53"/>
    </row>
    <row r="1178" spans="3:8" x14ac:dyDescent="0.15">
      <c r="C1178" s="53"/>
      <c r="D1178" s="50"/>
      <c r="E1178" s="51"/>
      <c r="F1178" s="52"/>
      <c r="G1178" s="53"/>
      <c r="H1178" s="53"/>
    </row>
    <row r="1179" spans="3:8" x14ac:dyDescent="0.15">
      <c r="C1179" s="53"/>
      <c r="D1179" s="50"/>
      <c r="E1179" s="51"/>
      <c r="F1179" s="52"/>
      <c r="G1179" s="53"/>
      <c r="H1179" s="53"/>
    </row>
    <row r="1180" spans="3:8" x14ac:dyDescent="0.15">
      <c r="C1180" s="53"/>
      <c r="D1180" s="50"/>
      <c r="E1180" s="51"/>
      <c r="F1180" s="52"/>
      <c r="G1180" s="53"/>
      <c r="H1180" s="53"/>
    </row>
    <row r="1181" spans="3:8" x14ac:dyDescent="0.15">
      <c r="C1181" s="53"/>
      <c r="D1181" s="50"/>
      <c r="E1181" s="51"/>
      <c r="F1181" s="52"/>
      <c r="G1181" s="53"/>
      <c r="H1181" s="53"/>
    </row>
    <row r="1182" spans="3:8" x14ac:dyDescent="0.15">
      <c r="C1182" s="53"/>
      <c r="D1182" s="50"/>
      <c r="E1182" s="51"/>
      <c r="F1182" s="52"/>
      <c r="G1182" s="53"/>
      <c r="H1182" s="53"/>
    </row>
    <row r="1183" spans="3:8" x14ac:dyDescent="0.15">
      <c r="C1183" s="53"/>
      <c r="D1183" s="50"/>
      <c r="E1183" s="51"/>
      <c r="F1183" s="52"/>
      <c r="G1183" s="53"/>
      <c r="H1183" s="53"/>
    </row>
    <row r="1184" spans="3:8" x14ac:dyDescent="0.15">
      <c r="C1184" s="53"/>
      <c r="D1184" s="50"/>
      <c r="E1184" s="51"/>
      <c r="F1184" s="52"/>
      <c r="G1184" s="53"/>
      <c r="H1184" s="53"/>
    </row>
    <row r="1185" spans="3:8" x14ac:dyDescent="0.15">
      <c r="C1185" s="53"/>
      <c r="D1185" s="50"/>
      <c r="E1185" s="51"/>
      <c r="F1185" s="52"/>
      <c r="G1185" s="53"/>
      <c r="H1185" s="53"/>
    </row>
    <row r="1186" spans="3:8" x14ac:dyDescent="0.15">
      <c r="C1186" s="53"/>
      <c r="D1186" s="50"/>
      <c r="E1186" s="51"/>
      <c r="F1186" s="52"/>
      <c r="G1186" s="53"/>
      <c r="H1186" s="53"/>
    </row>
    <row r="1187" spans="3:8" x14ac:dyDescent="0.15">
      <c r="C1187" s="53"/>
      <c r="D1187" s="50"/>
      <c r="E1187" s="51"/>
      <c r="F1187" s="52"/>
      <c r="G1187" s="53"/>
      <c r="H1187" s="53"/>
    </row>
    <row r="1188" spans="3:8" x14ac:dyDescent="0.15">
      <c r="C1188" s="53"/>
      <c r="D1188" s="50"/>
      <c r="E1188" s="51"/>
      <c r="F1188" s="52"/>
      <c r="G1188" s="53"/>
      <c r="H1188" s="53"/>
    </row>
    <row r="1189" spans="3:8" x14ac:dyDescent="0.15">
      <c r="C1189" s="53"/>
      <c r="D1189" s="50"/>
      <c r="E1189" s="51"/>
      <c r="F1189" s="52"/>
      <c r="G1189" s="53"/>
      <c r="H1189" s="53"/>
    </row>
    <row r="1190" spans="3:8" x14ac:dyDescent="0.15">
      <c r="C1190" s="53"/>
      <c r="D1190" s="50"/>
      <c r="E1190" s="51"/>
      <c r="F1190" s="52"/>
      <c r="G1190" s="53"/>
      <c r="H1190" s="53"/>
    </row>
    <row r="1191" spans="3:8" x14ac:dyDescent="0.15">
      <c r="C1191" s="53"/>
      <c r="D1191" s="50"/>
      <c r="E1191" s="51"/>
      <c r="F1191" s="52"/>
      <c r="G1191" s="53"/>
      <c r="H1191" s="53"/>
    </row>
    <row r="1192" spans="3:8" x14ac:dyDescent="0.15">
      <c r="C1192" s="53"/>
      <c r="D1192" s="50"/>
      <c r="E1192" s="51"/>
      <c r="F1192" s="52"/>
      <c r="G1192" s="53"/>
      <c r="H1192" s="53"/>
    </row>
    <row r="1193" spans="3:8" x14ac:dyDescent="0.15">
      <c r="C1193" s="53"/>
      <c r="D1193" s="50"/>
      <c r="E1193" s="51"/>
      <c r="F1193" s="52"/>
      <c r="G1193" s="53"/>
      <c r="H1193" s="53"/>
    </row>
    <row r="1194" spans="3:8" x14ac:dyDescent="0.15">
      <c r="C1194" s="53"/>
      <c r="D1194" s="50"/>
      <c r="E1194" s="51"/>
      <c r="F1194" s="52"/>
      <c r="G1194" s="53"/>
      <c r="H1194" s="53"/>
    </row>
    <row r="1195" spans="3:8" x14ac:dyDescent="0.15">
      <c r="C1195" s="53"/>
      <c r="D1195" s="50"/>
      <c r="E1195" s="51"/>
      <c r="F1195" s="52"/>
      <c r="G1195" s="53"/>
      <c r="H1195" s="53"/>
    </row>
    <row r="1196" spans="3:8" x14ac:dyDescent="0.15">
      <c r="C1196" s="53"/>
      <c r="D1196" s="50"/>
      <c r="E1196" s="51"/>
      <c r="F1196" s="52"/>
      <c r="G1196" s="53"/>
      <c r="H1196" s="53"/>
    </row>
    <row r="1197" spans="3:8" x14ac:dyDescent="0.15">
      <c r="C1197" s="53"/>
      <c r="D1197" s="50"/>
      <c r="E1197" s="51"/>
      <c r="F1197" s="52"/>
      <c r="G1197" s="53"/>
      <c r="H1197" s="53"/>
    </row>
    <row r="1198" spans="3:8" x14ac:dyDescent="0.15">
      <c r="C1198" s="53"/>
      <c r="D1198" s="50"/>
      <c r="E1198" s="51"/>
      <c r="F1198" s="52"/>
      <c r="G1198" s="53"/>
      <c r="H1198" s="53"/>
    </row>
    <row r="1199" spans="3:8" x14ac:dyDescent="0.15">
      <c r="C1199" s="53"/>
      <c r="D1199" s="50"/>
      <c r="E1199" s="51"/>
      <c r="F1199" s="52"/>
      <c r="G1199" s="53"/>
      <c r="H1199" s="53"/>
    </row>
    <row r="1200" spans="3:8" x14ac:dyDescent="0.15">
      <c r="C1200" s="53"/>
      <c r="D1200" s="50"/>
      <c r="E1200" s="51"/>
      <c r="F1200" s="52"/>
      <c r="G1200" s="53"/>
      <c r="H1200" s="53"/>
    </row>
    <row r="1201" spans="3:8" x14ac:dyDescent="0.15">
      <c r="C1201" s="53"/>
      <c r="D1201" s="50"/>
      <c r="E1201" s="51"/>
      <c r="F1201" s="52"/>
      <c r="G1201" s="53"/>
      <c r="H1201" s="53"/>
    </row>
    <row r="1202" spans="3:8" x14ac:dyDescent="0.15">
      <c r="C1202" s="53"/>
      <c r="D1202" s="50"/>
      <c r="E1202" s="51"/>
      <c r="F1202" s="52"/>
      <c r="G1202" s="53"/>
      <c r="H1202" s="53"/>
    </row>
    <row r="1203" spans="3:8" x14ac:dyDescent="0.15">
      <c r="C1203" s="53"/>
      <c r="D1203" s="50"/>
      <c r="E1203" s="51"/>
      <c r="F1203" s="52"/>
      <c r="G1203" s="53"/>
      <c r="H1203" s="53"/>
    </row>
    <row r="1204" spans="3:8" x14ac:dyDescent="0.15">
      <c r="C1204" s="53"/>
      <c r="D1204" s="50"/>
      <c r="E1204" s="51"/>
      <c r="F1204" s="52"/>
      <c r="G1204" s="53"/>
      <c r="H1204" s="53"/>
    </row>
    <row r="1205" spans="3:8" x14ac:dyDescent="0.15">
      <c r="C1205" s="53"/>
      <c r="D1205" s="50"/>
      <c r="E1205" s="51"/>
      <c r="F1205" s="52"/>
      <c r="G1205" s="53"/>
      <c r="H1205" s="53"/>
    </row>
    <row r="1206" spans="3:8" x14ac:dyDescent="0.15">
      <c r="C1206" s="53"/>
      <c r="D1206" s="50"/>
      <c r="E1206" s="51"/>
      <c r="F1206" s="52"/>
      <c r="G1206" s="53"/>
      <c r="H1206" s="53"/>
    </row>
    <row r="1207" spans="3:8" x14ac:dyDescent="0.15">
      <c r="C1207" s="53"/>
      <c r="D1207" s="50"/>
      <c r="E1207" s="51"/>
      <c r="F1207" s="52"/>
      <c r="G1207" s="53"/>
      <c r="H1207" s="53"/>
    </row>
    <row r="1208" spans="3:8" x14ac:dyDescent="0.15">
      <c r="C1208" s="53"/>
      <c r="D1208" s="50"/>
      <c r="E1208" s="51"/>
      <c r="F1208" s="52"/>
      <c r="G1208" s="53"/>
      <c r="H1208" s="53"/>
    </row>
    <row r="1209" spans="3:8" x14ac:dyDescent="0.15">
      <c r="C1209" s="53"/>
      <c r="D1209" s="50"/>
      <c r="E1209" s="51"/>
      <c r="F1209" s="52"/>
      <c r="G1209" s="53"/>
      <c r="H1209" s="53"/>
    </row>
    <row r="1210" spans="3:8" x14ac:dyDescent="0.15">
      <c r="C1210" s="53"/>
      <c r="D1210" s="50"/>
      <c r="E1210" s="51"/>
      <c r="F1210" s="52"/>
      <c r="G1210" s="53"/>
      <c r="H1210" s="53"/>
    </row>
    <row r="1211" spans="3:8" x14ac:dyDescent="0.15">
      <c r="C1211" s="53"/>
      <c r="D1211" s="50"/>
      <c r="E1211" s="51"/>
      <c r="F1211" s="52"/>
      <c r="G1211" s="53"/>
      <c r="H1211" s="53"/>
    </row>
    <row r="1212" spans="3:8" x14ac:dyDescent="0.15">
      <c r="C1212" s="53"/>
      <c r="D1212" s="50"/>
      <c r="E1212" s="51"/>
      <c r="F1212" s="52"/>
      <c r="G1212" s="53"/>
      <c r="H1212" s="53"/>
    </row>
    <row r="1213" spans="3:8" x14ac:dyDescent="0.15">
      <c r="C1213" s="53"/>
      <c r="D1213" s="50"/>
      <c r="E1213" s="51"/>
      <c r="F1213" s="52"/>
      <c r="G1213" s="53"/>
      <c r="H1213" s="53"/>
    </row>
    <row r="1214" spans="3:8" x14ac:dyDescent="0.15">
      <c r="C1214" s="53"/>
      <c r="D1214" s="50"/>
      <c r="E1214" s="51"/>
      <c r="F1214" s="52"/>
      <c r="G1214" s="53"/>
      <c r="H1214" s="53"/>
    </row>
    <row r="1215" spans="3:8" x14ac:dyDescent="0.15">
      <c r="C1215" s="53"/>
      <c r="D1215" s="50"/>
      <c r="E1215" s="51"/>
      <c r="F1215" s="52"/>
      <c r="G1215" s="53"/>
      <c r="H1215" s="53"/>
    </row>
    <row r="1216" spans="3:8" x14ac:dyDescent="0.15">
      <c r="C1216" s="53"/>
      <c r="D1216" s="50"/>
      <c r="E1216" s="51"/>
      <c r="F1216" s="52"/>
      <c r="G1216" s="53"/>
      <c r="H1216" s="53"/>
    </row>
    <row r="1217" spans="3:8" x14ac:dyDescent="0.15">
      <c r="C1217" s="53"/>
      <c r="D1217" s="50"/>
      <c r="E1217" s="51"/>
      <c r="F1217" s="52"/>
      <c r="G1217" s="53"/>
      <c r="H1217" s="53"/>
    </row>
    <row r="1218" spans="3:8" x14ac:dyDescent="0.15">
      <c r="C1218" s="53"/>
      <c r="D1218" s="50"/>
      <c r="E1218" s="51"/>
      <c r="F1218" s="52"/>
      <c r="G1218" s="53"/>
      <c r="H1218" s="53"/>
    </row>
    <row r="1219" spans="3:8" x14ac:dyDescent="0.15">
      <c r="C1219" s="53"/>
      <c r="D1219" s="50"/>
      <c r="E1219" s="51"/>
      <c r="F1219" s="52"/>
      <c r="G1219" s="53"/>
      <c r="H1219" s="53"/>
    </row>
    <row r="1220" spans="3:8" x14ac:dyDescent="0.15">
      <c r="C1220" s="53"/>
      <c r="D1220" s="50"/>
      <c r="E1220" s="51"/>
      <c r="F1220" s="52"/>
      <c r="G1220" s="53"/>
      <c r="H1220" s="53"/>
    </row>
    <row r="1221" spans="3:8" x14ac:dyDescent="0.15">
      <c r="C1221" s="53"/>
      <c r="D1221" s="50"/>
      <c r="E1221" s="51"/>
      <c r="F1221" s="52"/>
      <c r="G1221" s="53"/>
      <c r="H1221" s="53"/>
    </row>
    <row r="1222" spans="3:8" x14ac:dyDescent="0.15">
      <c r="C1222" s="53"/>
      <c r="D1222" s="50"/>
      <c r="E1222" s="51"/>
      <c r="F1222" s="52"/>
      <c r="G1222" s="53"/>
      <c r="H1222" s="53"/>
    </row>
    <row r="1223" spans="3:8" x14ac:dyDescent="0.15">
      <c r="C1223" s="53"/>
      <c r="D1223" s="50"/>
      <c r="E1223" s="51"/>
      <c r="F1223" s="52"/>
      <c r="G1223" s="53"/>
      <c r="H1223" s="53"/>
    </row>
    <row r="1224" spans="3:8" x14ac:dyDescent="0.15">
      <c r="C1224" s="53"/>
      <c r="D1224" s="50"/>
      <c r="E1224" s="51"/>
      <c r="F1224" s="52"/>
      <c r="G1224" s="53"/>
      <c r="H1224" s="53"/>
    </row>
    <row r="1225" spans="3:8" x14ac:dyDescent="0.15">
      <c r="C1225" s="53"/>
      <c r="D1225" s="50"/>
      <c r="E1225" s="51"/>
      <c r="F1225" s="52"/>
      <c r="G1225" s="53"/>
      <c r="H1225" s="53"/>
    </row>
    <row r="1226" spans="3:8" x14ac:dyDescent="0.15">
      <c r="C1226" s="53"/>
      <c r="D1226" s="50"/>
      <c r="E1226" s="51"/>
      <c r="F1226" s="52"/>
      <c r="G1226" s="53"/>
      <c r="H1226" s="53"/>
    </row>
    <row r="1227" spans="3:8" x14ac:dyDescent="0.15">
      <c r="C1227" s="53"/>
      <c r="D1227" s="50"/>
      <c r="E1227" s="51"/>
      <c r="F1227" s="52"/>
      <c r="G1227" s="53"/>
      <c r="H1227" s="53"/>
    </row>
    <row r="1228" spans="3:8" x14ac:dyDescent="0.15">
      <c r="C1228" s="53"/>
      <c r="D1228" s="50"/>
      <c r="E1228" s="51"/>
      <c r="F1228" s="52"/>
      <c r="G1228" s="53"/>
      <c r="H1228" s="53"/>
    </row>
    <row r="1229" spans="3:8" x14ac:dyDescent="0.15">
      <c r="C1229" s="53"/>
      <c r="D1229" s="50"/>
      <c r="E1229" s="51"/>
      <c r="F1229" s="52"/>
      <c r="G1229" s="53"/>
      <c r="H1229" s="53"/>
    </row>
    <row r="1230" spans="3:8" x14ac:dyDescent="0.15">
      <c r="C1230" s="53"/>
      <c r="D1230" s="50"/>
      <c r="E1230" s="51"/>
      <c r="F1230" s="52"/>
      <c r="G1230" s="53"/>
      <c r="H1230" s="53"/>
    </row>
    <row r="1231" spans="3:8" x14ac:dyDescent="0.15">
      <c r="C1231" s="53"/>
      <c r="D1231" s="50"/>
      <c r="E1231" s="51"/>
      <c r="F1231" s="52"/>
      <c r="G1231" s="53"/>
      <c r="H1231" s="53"/>
    </row>
    <row r="1232" spans="3:8" x14ac:dyDescent="0.15">
      <c r="C1232" s="53"/>
      <c r="D1232" s="50"/>
      <c r="E1232" s="51"/>
      <c r="F1232" s="52"/>
      <c r="G1232" s="53"/>
      <c r="H1232" s="53"/>
    </row>
    <row r="1233" spans="3:8" x14ac:dyDescent="0.15">
      <c r="C1233" s="53"/>
      <c r="D1233" s="50"/>
      <c r="E1233" s="51"/>
      <c r="F1233" s="52"/>
      <c r="G1233" s="53"/>
      <c r="H1233" s="53"/>
    </row>
    <row r="1234" spans="3:8" x14ac:dyDescent="0.15">
      <c r="C1234" s="53"/>
      <c r="D1234" s="50"/>
      <c r="E1234" s="51"/>
      <c r="F1234" s="52"/>
      <c r="G1234" s="53"/>
      <c r="H1234" s="53"/>
    </row>
    <row r="1235" spans="3:8" x14ac:dyDescent="0.15">
      <c r="C1235" s="53"/>
      <c r="D1235" s="50"/>
      <c r="E1235" s="51"/>
      <c r="F1235" s="52"/>
      <c r="G1235" s="53"/>
      <c r="H1235" s="53"/>
    </row>
    <row r="1236" spans="3:8" x14ac:dyDescent="0.15">
      <c r="C1236" s="53"/>
      <c r="D1236" s="50"/>
      <c r="E1236" s="51"/>
      <c r="F1236" s="52"/>
      <c r="G1236" s="53"/>
      <c r="H1236" s="53"/>
    </row>
    <row r="1237" spans="3:8" x14ac:dyDescent="0.15">
      <c r="C1237" s="53"/>
      <c r="D1237" s="50"/>
      <c r="E1237" s="51"/>
      <c r="F1237" s="52"/>
      <c r="G1237" s="53"/>
      <c r="H1237" s="53"/>
    </row>
    <row r="1238" spans="3:8" x14ac:dyDescent="0.15">
      <c r="C1238" s="53"/>
      <c r="D1238" s="50"/>
      <c r="E1238" s="51"/>
      <c r="F1238" s="52"/>
      <c r="G1238" s="53"/>
      <c r="H1238" s="53"/>
    </row>
    <row r="1239" spans="3:8" x14ac:dyDescent="0.15">
      <c r="C1239" s="53"/>
      <c r="D1239" s="50"/>
      <c r="E1239" s="51"/>
      <c r="F1239" s="52"/>
      <c r="G1239" s="53"/>
      <c r="H1239" s="53"/>
    </row>
    <row r="1240" spans="3:8" x14ac:dyDescent="0.15">
      <c r="C1240" s="53"/>
      <c r="D1240" s="50"/>
      <c r="E1240" s="51"/>
      <c r="F1240" s="52"/>
      <c r="G1240" s="53"/>
      <c r="H1240" s="53"/>
    </row>
    <row r="1241" spans="3:8" x14ac:dyDescent="0.15">
      <c r="C1241" s="53"/>
      <c r="D1241" s="50"/>
      <c r="E1241" s="51"/>
      <c r="F1241" s="52"/>
      <c r="G1241" s="53"/>
      <c r="H1241" s="53"/>
    </row>
    <row r="1242" spans="3:8" x14ac:dyDescent="0.15">
      <c r="C1242" s="53"/>
      <c r="D1242" s="50"/>
      <c r="E1242" s="51"/>
      <c r="F1242" s="52"/>
      <c r="G1242" s="53"/>
      <c r="H1242" s="53"/>
    </row>
    <row r="1243" spans="3:8" x14ac:dyDescent="0.15">
      <c r="C1243" s="53"/>
      <c r="D1243" s="50"/>
      <c r="E1243" s="51"/>
      <c r="F1243" s="52"/>
      <c r="G1243" s="53"/>
      <c r="H1243" s="53"/>
    </row>
    <row r="1244" spans="3:8" x14ac:dyDescent="0.15">
      <c r="C1244" s="53"/>
      <c r="D1244" s="50"/>
      <c r="E1244" s="51"/>
      <c r="F1244" s="52"/>
      <c r="G1244" s="53"/>
      <c r="H1244" s="53"/>
    </row>
    <row r="1245" spans="3:8" x14ac:dyDescent="0.15">
      <c r="C1245" s="53"/>
      <c r="D1245" s="50"/>
      <c r="E1245" s="51"/>
      <c r="F1245" s="52"/>
      <c r="G1245" s="53"/>
      <c r="H1245" s="53"/>
    </row>
    <row r="1246" spans="3:8" x14ac:dyDescent="0.15">
      <c r="C1246" s="53"/>
      <c r="D1246" s="50"/>
      <c r="E1246" s="51"/>
      <c r="F1246" s="52"/>
      <c r="G1246" s="53"/>
      <c r="H1246" s="53"/>
    </row>
    <row r="1247" spans="3:8" x14ac:dyDescent="0.15">
      <c r="C1247" s="53"/>
      <c r="D1247" s="50"/>
      <c r="E1247" s="51"/>
      <c r="F1247" s="52"/>
      <c r="G1247" s="53"/>
      <c r="H1247" s="53"/>
    </row>
    <row r="1248" spans="3:8" x14ac:dyDescent="0.15">
      <c r="C1248" s="53"/>
      <c r="D1248" s="50"/>
      <c r="E1248" s="51"/>
      <c r="F1248" s="52"/>
      <c r="G1248" s="53"/>
      <c r="H1248" s="53"/>
    </row>
    <row r="1249" spans="3:8" x14ac:dyDescent="0.15">
      <c r="C1249" s="53"/>
      <c r="D1249" s="50"/>
      <c r="E1249" s="51"/>
      <c r="F1249" s="52"/>
      <c r="G1249" s="53"/>
      <c r="H1249" s="53"/>
    </row>
    <row r="1250" spans="3:8" x14ac:dyDescent="0.15">
      <c r="C1250" s="53"/>
      <c r="D1250" s="50"/>
      <c r="E1250" s="51"/>
      <c r="F1250" s="52"/>
      <c r="G1250" s="53"/>
      <c r="H1250" s="53"/>
    </row>
    <row r="1251" spans="3:8" x14ac:dyDescent="0.15">
      <c r="C1251" s="53"/>
      <c r="D1251" s="50"/>
      <c r="E1251" s="51"/>
      <c r="F1251" s="52"/>
      <c r="G1251" s="53"/>
      <c r="H1251" s="53"/>
    </row>
    <row r="1252" spans="3:8" x14ac:dyDescent="0.15">
      <c r="C1252" s="53"/>
      <c r="D1252" s="50"/>
      <c r="E1252" s="51"/>
      <c r="F1252" s="52"/>
      <c r="G1252" s="53"/>
      <c r="H1252" s="53"/>
    </row>
    <row r="1253" spans="3:8" x14ac:dyDescent="0.15">
      <c r="C1253" s="53"/>
      <c r="D1253" s="50"/>
      <c r="E1253" s="51"/>
      <c r="F1253" s="52"/>
      <c r="G1253" s="53"/>
      <c r="H1253" s="53"/>
    </row>
    <row r="1254" spans="3:8" x14ac:dyDescent="0.15">
      <c r="C1254" s="53"/>
      <c r="D1254" s="50"/>
      <c r="E1254" s="51"/>
      <c r="F1254" s="52"/>
      <c r="G1254" s="53"/>
      <c r="H1254" s="53"/>
    </row>
    <row r="1255" spans="3:8" x14ac:dyDescent="0.15">
      <c r="C1255" s="53"/>
      <c r="D1255" s="50"/>
      <c r="E1255" s="51"/>
      <c r="F1255" s="52"/>
      <c r="G1255" s="53"/>
      <c r="H1255" s="53"/>
    </row>
    <row r="1256" spans="3:8" x14ac:dyDescent="0.15">
      <c r="C1256" s="53"/>
      <c r="D1256" s="50"/>
      <c r="E1256" s="51"/>
      <c r="F1256" s="52"/>
      <c r="G1256" s="53"/>
      <c r="H1256" s="53"/>
    </row>
    <row r="1257" spans="3:8" x14ac:dyDescent="0.15">
      <c r="C1257" s="53"/>
      <c r="D1257" s="50"/>
      <c r="E1257" s="51"/>
      <c r="F1257" s="52"/>
      <c r="G1257" s="53"/>
      <c r="H1257" s="53"/>
    </row>
    <row r="1258" spans="3:8" x14ac:dyDescent="0.15">
      <c r="C1258" s="53"/>
      <c r="D1258" s="50"/>
      <c r="E1258" s="51"/>
      <c r="F1258" s="52"/>
      <c r="G1258" s="53"/>
      <c r="H1258" s="53"/>
    </row>
    <row r="1259" spans="3:8" x14ac:dyDescent="0.15">
      <c r="C1259" s="53"/>
      <c r="D1259" s="50"/>
      <c r="E1259" s="51"/>
      <c r="F1259" s="52"/>
      <c r="G1259" s="53"/>
      <c r="H1259" s="53"/>
    </row>
    <row r="1260" spans="3:8" x14ac:dyDescent="0.15">
      <c r="C1260" s="53"/>
      <c r="D1260" s="50"/>
      <c r="E1260" s="51"/>
      <c r="F1260" s="52"/>
      <c r="G1260" s="53"/>
      <c r="H1260" s="53"/>
    </row>
    <row r="1261" spans="3:8" x14ac:dyDescent="0.15">
      <c r="C1261" s="53"/>
      <c r="D1261" s="50"/>
      <c r="E1261" s="51"/>
      <c r="F1261" s="52"/>
      <c r="G1261" s="53"/>
      <c r="H1261" s="53"/>
    </row>
    <row r="1262" spans="3:8" x14ac:dyDescent="0.15">
      <c r="C1262" s="53"/>
      <c r="D1262" s="50"/>
      <c r="E1262" s="51"/>
      <c r="F1262" s="52"/>
      <c r="G1262" s="53"/>
      <c r="H1262" s="53"/>
    </row>
    <row r="1263" spans="3:8" x14ac:dyDescent="0.15">
      <c r="C1263" s="53"/>
      <c r="D1263" s="50"/>
      <c r="E1263" s="51"/>
      <c r="F1263" s="52"/>
      <c r="G1263" s="53"/>
      <c r="H1263" s="53"/>
    </row>
    <row r="1264" spans="3:8" x14ac:dyDescent="0.15">
      <c r="C1264" s="53"/>
      <c r="D1264" s="50"/>
      <c r="E1264" s="51"/>
      <c r="F1264" s="52"/>
      <c r="G1264" s="53"/>
      <c r="H1264" s="53"/>
    </row>
    <row r="1265" spans="3:8" x14ac:dyDescent="0.15">
      <c r="C1265" s="53"/>
      <c r="D1265" s="50"/>
      <c r="E1265" s="51"/>
      <c r="F1265" s="52"/>
      <c r="G1265" s="53"/>
      <c r="H1265" s="53"/>
    </row>
    <row r="1266" spans="3:8" x14ac:dyDescent="0.15">
      <c r="C1266" s="53"/>
      <c r="D1266" s="50"/>
      <c r="E1266" s="51"/>
      <c r="F1266" s="52"/>
      <c r="G1266" s="53"/>
      <c r="H1266" s="53"/>
    </row>
    <row r="1267" spans="3:8" x14ac:dyDescent="0.15">
      <c r="C1267" s="53"/>
      <c r="D1267" s="50"/>
      <c r="E1267" s="51"/>
      <c r="F1267" s="52"/>
      <c r="G1267" s="53"/>
      <c r="H1267" s="53"/>
    </row>
    <row r="1268" spans="3:8" x14ac:dyDescent="0.15">
      <c r="C1268" s="53"/>
      <c r="D1268" s="50"/>
      <c r="E1268" s="51"/>
      <c r="F1268" s="52"/>
      <c r="G1268" s="53"/>
      <c r="H1268" s="53"/>
    </row>
    <row r="1269" spans="3:8" x14ac:dyDescent="0.15">
      <c r="C1269" s="53"/>
      <c r="D1269" s="50"/>
      <c r="E1269" s="51"/>
      <c r="F1269" s="52"/>
      <c r="G1269" s="53"/>
      <c r="H1269" s="53"/>
    </row>
    <row r="1270" spans="3:8" x14ac:dyDescent="0.15">
      <c r="C1270" s="53"/>
      <c r="D1270" s="50"/>
      <c r="E1270" s="51"/>
      <c r="F1270" s="52"/>
      <c r="G1270" s="53"/>
      <c r="H1270" s="53"/>
    </row>
    <row r="1271" spans="3:8" x14ac:dyDescent="0.15">
      <c r="C1271" s="53"/>
      <c r="D1271" s="50"/>
      <c r="E1271" s="51"/>
      <c r="F1271" s="52"/>
      <c r="G1271" s="53"/>
      <c r="H1271" s="53"/>
    </row>
    <row r="1272" spans="3:8" x14ac:dyDescent="0.15">
      <c r="C1272" s="53"/>
      <c r="D1272" s="50"/>
      <c r="E1272" s="51"/>
      <c r="F1272" s="52"/>
      <c r="G1272" s="53"/>
      <c r="H1272" s="53"/>
    </row>
    <row r="1273" spans="3:8" x14ac:dyDescent="0.15">
      <c r="C1273" s="53"/>
      <c r="D1273" s="50"/>
      <c r="E1273" s="51"/>
      <c r="F1273" s="52"/>
      <c r="G1273" s="53"/>
      <c r="H1273" s="53"/>
    </row>
    <row r="1274" spans="3:8" x14ac:dyDescent="0.15">
      <c r="C1274" s="53"/>
      <c r="D1274" s="50"/>
      <c r="E1274" s="51"/>
      <c r="F1274" s="52"/>
      <c r="G1274" s="53"/>
      <c r="H1274" s="53"/>
    </row>
    <row r="1275" spans="3:8" x14ac:dyDescent="0.15">
      <c r="C1275" s="53"/>
      <c r="D1275" s="50"/>
      <c r="E1275" s="51"/>
      <c r="F1275" s="52"/>
      <c r="G1275" s="53"/>
      <c r="H1275" s="53"/>
    </row>
    <row r="1276" spans="3:8" x14ac:dyDescent="0.15">
      <c r="C1276" s="53"/>
      <c r="D1276" s="50"/>
      <c r="E1276" s="51"/>
      <c r="F1276" s="52"/>
      <c r="G1276" s="53"/>
      <c r="H1276" s="53"/>
    </row>
    <row r="1277" spans="3:8" x14ac:dyDescent="0.15">
      <c r="C1277" s="53"/>
      <c r="D1277" s="50"/>
      <c r="E1277" s="51"/>
      <c r="F1277" s="52"/>
      <c r="G1277" s="53"/>
      <c r="H1277" s="53"/>
    </row>
    <row r="1278" spans="3:8" x14ac:dyDescent="0.15">
      <c r="C1278" s="53"/>
      <c r="D1278" s="50"/>
      <c r="E1278" s="51"/>
      <c r="F1278" s="52"/>
      <c r="G1278" s="53"/>
      <c r="H1278" s="53"/>
    </row>
    <row r="1279" spans="3:8" x14ac:dyDescent="0.15">
      <c r="C1279" s="53"/>
      <c r="D1279" s="50"/>
      <c r="E1279" s="51"/>
      <c r="F1279" s="52"/>
      <c r="G1279" s="53"/>
      <c r="H1279" s="53"/>
    </row>
    <row r="1280" spans="3:8" x14ac:dyDescent="0.15">
      <c r="C1280" s="53"/>
      <c r="D1280" s="50"/>
      <c r="E1280" s="51"/>
      <c r="F1280" s="52"/>
      <c r="G1280" s="53"/>
      <c r="H1280" s="53"/>
    </row>
    <row r="1281" spans="3:8" x14ac:dyDescent="0.15">
      <c r="C1281" s="53"/>
      <c r="D1281" s="50"/>
      <c r="E1281" s="51"/>
      <c r="F1281" s="52"/>
      <c r="G1281" s="53"/>
      <c r="H1281" s="53"/>
    </row>
    <row r="1282" spans="3:8" x14ac:dyDescent="0.15">
      <c r="C1282" s="53"/>
      <c r="D1282" s="50"/>
      <c r="E1282" s="51"/>
      <c r="F1282" s="52"/>
      <c r="G1282" s="53"/>
      <c r="H1282" s="53"/>
    </row>
    <row r="1283" spans="3:8" x14ac:dyDescent="0.15">
      <c r="C1283" s="53"/>
      <c r="D1283" s="50"/>
      <c r="E1283" s="51"/>
      <c r="F1283" s="52"/>
      <c r="G1283" s="53"/>
      <c r="H1283" s="53"/>
    </row>
    <row r="1284" spans="3:8" x14ac:dyDescent="0.15">
      <c r="C1284" s="53"/>
      <c r="D1284" s="50"/>
      <c r="E1284" s="51"/>
      <c r="F1284" s="52"/>
      <c r="G1284" s="53"/>
      <c r="H1284" s="53"/>
    </row>
    <row r="1285" spans="3:8" x14ac:dyDescent="0.15">
      <c r="C1285" s="53"/>
      <c r="D1285" s="50"/>
      <c r="E1285" s="51"/>
      <c r="F1285" s="52"/>
      <c r="G1285" s="53"/>
      <c r="H1285" s="53"/>
    </row>
    <row r="1286" spans="3:8" x14ac:dyDescent="0.15">
      <c r="C1286" s="53"/>
      <c r="D1286" s="50"/>
      <c r="E1286" s="51"/>
      <c r="F1286" s="52"/>
      <c r="G1286" s="53"/>
      <c r="H1286" s="53"/>
    </row>
    <row r="1287" spans="3:8" x14ac:dyDescent="0.15">
      <c r="C1287" s="53"/>
      <c r="D1287" s="50"/>
      <c r="E1287" s="51"/>
      <c r="F1287" s="52"/>
      <c r="G1287" s="53"/>
      <c r="H1287" s="53"/>
    </row>
    <row r="1288" spans="3:8" x14ac:dyDescent="0.15">
      <c r="C1288" s="53"/>
      <c r="D1288" s="50"/>
      <c r="E1288" s="51"/>
      <c r="F1288" s="52"/>
      <c r="G1288" s="53"/>
      <c r="H1288" s="53"/>
    </row>
    <row r="1289" spans="3:8" x14ac:dyDescent="0.15">
      <c r="C1289" s="53"/>
      <c r="D1289" s="50"/>
      <c r="E1289" s="51"/>
      <c r="F1289" s="52"/>
      <c r="G1289" s="53"/>
      <c r="H1289" s="53"/>
    </row>
    <row r="1290" spans="3:8" x14ac:dyDescent="0.15">
      <c r="C1290" s="53"/>
      <c r="D1290" s="50"/>
      <c r="E1290" s="51"/>
      <c r="F1290" s="52"/>
      <c r="G1290" s="53"/>
      <c r="H1290" s="53"/>
    </row>
    <row r="1291" spans="3:8" x14ac:dyDescent="0.15">
      <c r="C1291" s="53"/>
      <c r="D1291" s="50"/>
      <c r="E1291" s="51"/>
      <c r="F1291" s="52"/>
      <c r="G1291" s="53"/>
      <c r="H1291" s="53"/>
    </row>
    <row r="1292" spans="3:8" x14ac:dyDescent="0.15">
      <c r="C1292" s="53"/>
      <c r="D1292" s="50"/>
      <c r="E1292" s="51"/>
      <c r="F1292" s="52"/>
      <c r="G1292" s="53"/>
      <c r="H1292" s="53"/>
    </row>
    <row r="1293" spans="3:8" x14ac:dyDescent="0.15">
      <c r="C1293" s="53"/>
      <c r="D1293" s="50"/>
      <c r="E1293" s="51"/>
      <c r="F1293" s="52"/>
      <c r="G1293" s="53"/>
      <c r="H1293" s="53"/>
    </row>
    <row r="1294" spans="3:8" x14ac:dyDescent="0.15">
      <c r="C1294" s="53"/>
      <c r="D1294" s="50"/>
      <c r="E1294" s="51"/>
      <c r="F1294" s="52"/>
      <c r="G1294" s="53"/>
      <c r="H1294" s="53"/>
    </row>
    <row r="1295" spans="3:8" x14ac:dyDescent="0.15">
      <c r="C1295" s="53"/>
      <c r="D1295" s="50"/>
      <c r="E1295" s="51"/>
      <c r="F1295" s="52"/>
      <c r="G1295" s="53"/>
      <c r="H1295" s="53"/>
    </row>
    <row r="1296" spans="3:8" x14ac:dyDescent="0.15">
      <c r="C1296" s="53"/>
      <c r="D1296" s="50"/>
      <c r="E1296" s="51"/>
      <c r="F1296" s="52"/>
      <c r="G1296" s="53"/>
      <c r="H1296" s="53"/>
    </row>
    <row r="1297" spans="3:8" x14ac:dyDescent="0.15">
      <c r="C1297" s="53"/>
      <c r="D1297" s="50"/>
      <c r="E1297" s="51"/>
      <c r="F1297" s="52"/>
      <c r="G1297" s="53"/>
      <c r="H1297" s="53"/>
    </row>
    <row r="1298" spans="3:8" x14ac:dyDescent="0.15">
      <c r="C1298" s="53"/>
      <c r="D1298" s="50"/>
      <c r="E1298" s="51"/>
      <c r="F1298" s="52"/>
      <c r="G1298" s="53"/>
      <c r="H1298" s="53"/>
    </row>
    <row r="1299" spans="3:8" x14ac:dyDescent="0.15">
      <c r="C1299" s="53"/>
      <c r="D1299" s="50"/>
      <c r="E1299" s="51"/>
      <c r="F1299" s="52"/>
      <c r="G1299" s="53"/>
      <c r="H1299" s="53"/>
    </row>
    <row r="1300" spans="3:8" x14ac:dyDescent="0.15">
      <c r="C1300" s="53"/>
      <c r="D1300" s="50"/>
      <c r="E1300" s="51"/>
      <c r="F1300" s="52"/>
      <c r="G1300" s="53"/>
      <c r="H1300" s="53"/>
    </row>
    <row r="1301" spans="3:8" x14ac:dyDescent="0.15">
      <c r="C1301" s="53"/>
      <c r="D1301" s="50"/>
      <c r="E1301" s="51"/>
      <c r="F1301" s="52"/>
      <c r="G1301" s="53"/>
      <c r="H1301" s="53"/>
    </row>
    <row r="1302" spans="3:8" x14ac:dyDescent="0.15">
      <c r="C1302" s="53"/>
      <c r="D1302" s="50"/>
      <c r="E1302" s="51"/>
      <c r="F1302" s="52"/>
      <c r="G1302" s="53"/>
      <c r="H1302" s="53"/>
    </row>
    <row r="1303" spans="3:8" x14ac:dyDescent="0.15">
      <c r="C1303" s="53"/>
      <c r="D1303" s="50"/>
      <c r="E1303" s="51"/>
      <c r="F1303" s="52"/>
      <c r="G1303" s="53"/>
      <c r="H1303" s="53"/>
    </row>
    <row r="1304" spans="3:8" x14ac:dyDescent="0.15">
      <c r="C1304" s="53"/>
      <c r="D1304" s="50"/>
      <c r="E1304" s="51"/>
      <c r="F1304" s="52"/>
      <c r="G1304" s="53"/>
      <c r="H1304" s="53"/>
    </row>
    <row r="1305" spans="3:8" x14ac:dyDescent="0.15">
      <c r="C1305" s="53"/>
      <c r="D1305" s="50"/>
      <c r="E1305" s="51"/>
      <c r="F1305" s="52"/>
      <c r="G1305" s="53"/>
      <c r="H1305" s="53"/>
    </row>
    <row r="1306" spans="3:8" x14ac:dyDescent="0.15">
      <c r="C1306" s="53"/>
      <c r="D1306" s="50"/>
      <c r="E1306" s="51"/>
      <c r="F1306" s="52"/>
      <c r="G1306" s="53"/>
      <c r="H1306" s="53"/>
    </row>
    <row r="1307" spans="3:8" x14ac:dyDescent="0.15">
      <c r="C1307" s="53"/>
      <c r="D1307" s="50"/>
      <c r="E1307" s="51"/>
      <c r="F1307" s="52"/>
      <c r="G1307" s="53"/>
      <c r="H1307" s="53"/>
    </row>
    <row r="1308" spans="3:8" x14ac:dyDescent="0.15">
      <c r="C1308" s="53"/>
      <c r="D1308" s="50"/>
      <c r="E1308" s="51"/>
      <c r="F1308" s="52"/>
      <c r="G1308" s="53"/>
      <c r="H1308" s="53"/>
    </row>
    <row r="1309" spans="3:8" x14ac:dyDescent="0.15">
      <c r="C1309" s="53"/>
      <c r="D1309" s="50"/>
      <c r="E1309" s="51"/>
      <c r="F1309" s="52"/>
      <c r="G1309" s="53"/>
      <c r="H1309" s="53"/>
    </row>
    <row r="1310" spans="3:8" x14ac:dyDescent="0.15">
      <c r="C1310" s="53"/>
      <c r="D1310" s="50"/>
      <c r="E1310" s="51"/>
      <c r="F1310" s="52"/>
      <c r="G1310" s="53"/>
      <c r="H1310" s="53"/>
    </row>
    <row r="1311" spans="3:8" x14ac:dyDescent="0.15">
      <c r="C1311" s="53"/>
      <c r="D1311" s="50"/>
      <c r="E1311" s="51"/>
      <c r="F1311" s="52"/>
      <c r="G1311" s="53"/>
      <c r="H1311" s="53"/>
    </row>
    <row r="1312" spans="3:8" x14ac:dyDescent="0.15">
      <c r="C1312" s="53"/>
      <c r="D1312" s="50"/>
      <c r="E1312" s="51"/>
      <c r="F1312" s="52"/>
      <c r="G1312" s="53"/>
      <c r="H1312" s="53"/>
    </row>
    <row r="1313" spans="3:8" x14ac:dyDescent="0.15">
      <c r="C1313" s="53"/>
      <c r="D1313" s="50"/>
      <c r="E1313" s="51"/>
      <c r="F1313" s="52"/>
      <c r="G1313" s="53"/>
      <c r="H1313" s="53"/>
    </row>
    <row r="1314" spans="3:8" x14ac:dyDescent="0.15">
      <c r="C1314" s="53"/>
      <c r="D1314" s="50"/>
      <c r="E1314" s="51"/>
      <c r="F1314" s="52"/>
      <c r="G1314" s="53"/>
      <c r="H1314" s="53"/>
    </row>
    <row r="1315" spans="3:8" x14ac:dyDescent="0.15">
      <c r="C1315" s="53"/>
      <c r="D1315" s="50"/>
      <c r="E1315" s="51"/>
      <c r="F1315" s="52"/>
      <c r="G1315" s="53"/>
      <c r="H1315" s="53"/>
    </row>
    <row r="1316" spans="3:8" x14ac:dyDescent="0.15">
      <c r="C1316" s="53"/>
      <c r="D1316" s="50"/>
      <c r="E1316" s="51"/>
      <c r="F1316" s="52"/>
      <c r="G1316" s="53"/>
      <c r="H1316" s="53"/>
    </row>
    <row r="1317" spans="3:8" x14ac:dyDescent="0.15">
      <c r="C1317" s="53"/>
      <c r="D1317" s="50"/>
      <c r="E1317" s="51"/>
      <c r="F1317" s="52"/>
      <c r="G1317" s="53"/>
      <c r="H1317" s="53"/>
    </row>
    <row r="1318" spans="3:8" x14ac:dyDescent="0.15">
      <c r="C1318" s="53"/>
      <c r="D1318" s="50"/>
      <c r="E1318" s="51"/>
      <c r="F1318" s="52"/>
      <c r="G1318" s="53"/>
      <c r="H1318" s="53"/>
    </row>
    <row r="1319" spans="3:8" x14ac:dyDescent="0.15">
      <c r="C1319" s="53"/>
      <c r="D1319" s="50"/>
      <c r="E1319" s="51"/>
      <c r="F1319" s="52"/>
      <c r="G1319" s="53"/>
      <c r="H1319" s="53"/>
    </row>
    <row r="1320" spans="3:8" x14ac:dyDescent="0.15">
      <c r="C1320" s="53"/>
      <c r="D1320" s="50"/>
      <c r="E1320" s="51"/>
      <c r="F1320" s="52"/>
      <c r="G1320" s="53"/>
      <c r="H1320" s="53"/>
    </row>
    <row r="1321" spans="3:8" x14ac:dyDescent="0.15">
      <c r="C1321" s="53"/>
      <c r="D1321" s="50"/>
      <c r="E1321" s="51"/>
      <c r="F1321" s="52"/>
      <c r="G1321" s="53"/>
      <c r="H1321" s="53"/>
    </row>
    <row r="1322" spans="3:8" x14ac:dyDescent="0.15">
      <c r="C1322" s="53"/>
      <c r="D1322" s="50"/>
      <c r="E1322" s="51"/>
      <c r="F1322" s="52"/>
      <c r="G1322" s="53"/>
      <c r="H1322" s="53"/>
    </row>
    <row r="1323" spans="3:8" x14ac:dyDescent="0.15">
      <c r="C1323" s="53"/>
      <c r="D1323" s="50"/>
      <c r="E1323" s="51"/>
      <c r="F1323" s="52"/>
      <c r="G1323" s="53"/>
      <c r="H1323" s="53"/>
    </row>
    <row r="1324" spans="3:8" x14ac:dyDescent="0.15">
      <c r="C1324" s="53"/>
      <c r="D1324" s="50"/>
      <c r="E1324" s="51"/>
      <c r="F1324" s="52"/>
      <c r="G1324" s="53"/>
      <c r="H1324" s="53"/>
    </row>
    <row r="1325" spans="3:8" x14ac:dyDescent="0.15">
      <c r="C1325" s="53"/>
      <c r="D1325" s="50"/>
      <c r="E1325" s="51"/>
      <c r="F1325" s="52"/>
      <c r="G1325" s="53"/>
      <c r="H1325" s="53"/>
    </row>
    <row r="1326" spans="3:8" x14ac:dyDescent="0.15">
      <c r="C1326" s="53"/>
      <c r="D1326" s="50"/>
      <c r="E1326" s="51"/>
      <c r="F1326" s="52"/>
      <c r="G1326" s="53"/>
      <c r="H1326" s="53"/>
    </row>
    <row r="1327" spans="3:8" x14ac:dyDescent="0.15">
      <c r="C1327" s="53"/>
      <c r="D1327" s="50"/>
      <c r="E1327" s="51"/>
      <c r="F1327" s="52"/>
      <c r="G1327" s="53"/>
      <c r="H1327" s="53"/>
    </row>
    <row r="1328" spans="3:8" x14ac:dyDescent="0.15">
      <c r="C1328" s="53"/>
      <c r="D1328" s="50"/>
      <c r="E1328" s="51"/>
      <c r="F1328" s="52"/>
      <c r="G1328" s="53"/>
      <c r="H1328" s="53"/>
    </row>
    <row r="1329" spans="3:8" x14ac:dyDescent="0.15">
      <c r="C1329" s="53"/>
      <c r="D1329" s="50"/>
      <c r="E1329" s="51"/>
      <c r="F1329" s="52"/>
      <c r="G1329" s="53"/>
      <c r="H1329" s="53"/>
    </row>
    <row r="1330" spans="3:8" x14ac:dyDescent="0.15">
      <c r="C1330" s="53"/>
      <c r="D1330" s="50"/>
      <c r="E1330" s="51"/>
      <c r="F1330" s="52"/>
      <c r="G1330" s="53"/>
      <c r="H1330" s="53"/>
    </row>
    <row r="1331" spans="3:8" x14ac:dyDescent="0.15">
      <c r="C1331" s="53"/>
      <c r="D1331" s="50"/>
      <c r="E1331" s="51"/>
      <c r="F1331" s="52"/>
      <c r="G1331" s="53"/>
      <c r="H1331" s="53"/>
    </row>
    <row r="1332" spans="3:8" x14ac:dyDescent="0.15">
      <c r="C1332" s="53"/>
      <c r="D1332" s="50"/>
      <c r="E1332" s="51"/>
      <c r="F1332" s="52"/>
      <c r="G1332" s="53"/>
      <c r="H1332" s="53"/>
    </row>
    <row r="1333" spans="3:8" x14ac:dyDescent="0.15">
      <c r="C1333" s="53"/>
      <c r="D1333" s="50"/>
      <c r="E1333" s="51"/>
      <c r="F1333" s="52"/>
      <c r="G1333" s="53"/>
      <c r="H1333" s="53"/>
    </row>
    <row r="1334" spans="3:8" x14ac:dyDescent="0.15">
      <c r="C1334" s="53"/>
      <c r="D1334" s="50"/>
      <c r="E1334" s="51"/>
      <c r="F1334" s="52"/>
      <c r="G1334" s="53"/>
      <c r="H1334" s="53"/>
    </row>
    <row r="1335" spans="3:8" x14ac:dyDescent="0.15">
      <c r="C1335" s="53"/>
      <c r="D1335" s="50"/>
      <c r="E1335" s="51"/>
      <c r="F1335" s="52"/>
      <c r="G1335" s="53"/>
      <c r="H1335" s="53"/>
    </row>
    <row r="1336" spans="3:8" x14ac:dyDescent="0.15">
      <c r="C1336" s="53"/>
      <c r="D1336" s="50"/>
      <c r="E1336" s="51"/>
      <c r="F1336" s="52"/>
      <c r="G1336" s="53"/>
      <c r="H1336" s="53"/>
    </row>
    <row r="1337" spans="3:8" x14ac:dyDescent="0.15">
      <c r="C1337" s="53"/>
      <c r="D1337" s="50"/>
      <c r="E1337" s="51"/>
      <c r="F1337" s="52"/>
      <c r="G1337" s="53"/>
      <c r="H1337" s="53"/>
    </row>
    <row r="1338" spans="3:8" x14ac:dyDescent="0.15">
      <c r="C1338" s="53"/>
      <c r="D1338" s="50"/>
      <c r="E1338" s="51"/>
      <c r="F1338" s="52"/>
      <c r="G1338" s="53"/>
      <c r="H1338" s="53"/>
    </row>
    <row r="1339" spans="3:8" x14ac:dyDescent="0.15">
      <c r="C1339" s="53"/>
      <c r="D1339" s="50"/>
      <c r="E1339" s="51"/>
      <c r="F1339" s="52"/>
      <c r="G1339" s="53"/>
      <c r="H1339" s="53"/>
    </row>
    <row r="1340" spans="3:8" x14ac:dyDescent="0.15">
      <c r="C1340" s="53"/>
      <c r="D1340" s="50"/>
      <c r="E1340" s="51"/>
      <c r="F1340" s="52"/>
      <c r="G1340" s="53"/>
      <c r="H1340" s="53"/>
    </row>
    <row r="1341" spans="3:8" x14ac:dyDescent="0.15">
      <c r="C1341" s="53"/>
      <c r="D1341" s="50"/>
      <c r="E1341" s="51"/>
      <c r="F1341" s="52"/>
      <c r="G1341" s="53"/>
      <c r="H1341" s="53"/>
    </row>
    <row r="1342" spans="3:8" x14ac:dyDescent="0.15">
      <c r="C1342" s="53"/>
      <c r="D1342" s="50"/>
      <c r="E1342" s="51"/>
      <c r="F1342" s="52"/>
      <c r="G1342" s="53"/>
      <c r="H1342" s="53"/>
    </row>
    <row r="1343" spans="3:8" x14ac:dyDescent="0.15">
      <c r="C1343" s="53"/>
      <c r="D1343" s="50"/>
      <c r="E1343" s="51"/>
      <c r="F1343" s="52"/>
      <c r="G1343" s="53"/>
      <c r="H1343" s="53"/>
    </row>
    <row r="1344" spans="3:8" x14ac:dyDescent="0.15">
      <c r="C1344" s="53"/>
      <c r="D1344" s="50"/>
      <c r="E1344" s="51"/>
      <c r="F1344" s="52"/>
      <c r="G1344" s="53"/>
      <c r="H1344" s="53"/>
    </row>
    <row r="1345" spans="3:8" x14ac:dyDescent="0.15">
      <c r="C1345" s="53"/>
      <c r="D1345" s="50"/>
      <c r="E1345" s="51"/>
      <c r="F1345" s="52"/>
      <c r="G1345" s="53"/>
      <c r="H1345" s="53"/>
    </row>
    <row r="1346" spans="3:8" x14ac:dyDescent="0.15">
      <c r="C1346" s="53"/>
      <c r="D1346" s="50"/>
      <c r="E1346" s="51"/>
      <c r="F1346" s="52"/>
      <c r="G1346" s="53"/>
      <c r="H1346" s="53"/>
    </row>
    <row r="1347" spans="3:8" x14ac:dyDescent="0.15">
      <c r="C1347" s="53"/>
      <c r="D1347" s="50"/>
      <c r="E1347" s="51"/>
      <c r="F1347" s="52"/>
      <c r="G1347" s="53"/>
      <c r="H1347" s="53"/>
    </row>
    <row r="1348" spans="3:8" x14ac:dyDescent="0.15">
      <c r="C1348" s="53"/>
      <c r="D1348" s="50"/>
      <c r="E1348" s="51"/>
      <c r="F1348" s="52"/>
      <c r="G1348" s="53"/>
      <c r="H1348" s="53"/>
    </row>
    <row r="1349" spans="3:8" x14ac:dyDescent="0.15">
      <c r="C1349" s="53"/>
      <c r="D1349" s="50"/>
      <c r="E1349" s="51"/>
      <c r="F1349" s="52"/>
      <c r="G1349" s="53"/>
      <c r="H1349" s="53"/>
    </row>
    <row r="1350" spans="3:8" x14ac:dyDescent="0.15">
      <c r="C1350" s="53"/>
      <c r="D1350" s="50"/>
      <c r="E1350" s="51"/>
      <c r="F1350" s="52"/>
      <c r="G1350" s="53"/>
      <c r="H1350" s="53"/>
    </row>
    <row r="1351" spans="3:8" x14ac:dyDescent="0.15">
      <c r="C1351" s="53"/>
      <c r="D1351" s="50"/>
      <c r="E1351" s="51"/>
      <c r="F1351" s="52"/>
      <c r="G1351" s="53"/>
      <c r="H1351" s="53"/>
    </row>
    <row r="1352" spans="3:8" x14ac:dyDescent="0.15">
      <c r="C1352" s="53"/>
      <c r="D1352" s="50"/>
      <c r="E1352" s="51"/>
      <c r="F1352" s="52"/>
      <c r="G1352" s="53"/>
      <c r="H1352" s="53"/>
    </row>
    <row r="1353" spans="3:8" x14ac:dyDescent="0.15">
      <c r="C1353" s="53"/>
      <c r="D1353" s="50"/>
      <c r="E1353" s="51"/>
      <c r="F1353" s="52"/>
      <c r="G1353" s="53"/>
      <c r="H1353" s="53"/>
    </row>
    <row r="1354" spans="3:8" x14ac:dyDescent="0.15">
      <c r="C1354" s="53"/>
      <c r="D1354" s="50"/>
      <c r="E1354" s="51"/>
      <c r="F1354" s="52"/>
      <c r="G1354" s="53"/>
      <c r="H1354" s="53"/>
    </row>
    <row r="1355" spans="3:8" x14ac:dyDescent="0.15">
      <c r="C1355" s="53"/>
      <c r="D1355" s="50"/>
      <c r="E1355" s="51"/>
      <c r="F1355" s="52"/>
      <c r="G1355" s="53"/>
      <c r="H1355" s="53"/>
    </row>
    <row r="1356" spans="3:8" x14ac:dyDescent="0.15">
      <c r="C1356" s="53"/>
      <c r="D1356" s="50"/>
      <c r="E1356" s="51"/>
      <c r="F1356" s="52"/>
      <c r="G1356" s="53"/>
      <c r="H1356" s="53"/>
    </row>
    <row r="1357" spans="3:8" x14ac:dyDescent="0.15">
      <c r="C1357" s="53"/>
      <c r="D1357" s="50"/>
      <c r="E1357" s="51"/>
      <c r="F1357" s="52"/>
      <c r="G1357" s="53"/>
      <c r="H1357" s="53"/>
    </row>
    <row r="1358" spans="3:8" x14ac:dyDescent="0.15">
      <c r="C1358" s="53"/>
      <c r="D1358" s="50"/>
      <c r="E1358" s="51"/>
      <c r="F1358" s="52"/>
      <c r="G1358" s="53"/>
      <c r="H1358" s="53"/>
    </row>
    <row r="1359" spans="3:8" x14ac:dyDescent="0.15">
      <c r="C1359" s="53"/>
      <c r="D1359" s="50"/>
      <c r="E1359" s="51"/>
      <c r="F1359" s="52"/>
      <c r="G1359" s="53"/>
      <c r="H1359" s="53"/>
    </row>
    <row r="1360" spans="3:8" x14ac:dyDescent="0.15">
      <c r="C1360" s="53"/>
      <c r="D1360" s="50"/>
      <c r="E1360" s="51"/>
      <c r="F1360" s="52"/>
      <c r="G1360" s="53"/>
      <c r="H1360" s="53"/>
    </row>
    <row r="1361" spans="3:8" x14ac:dyDescent="0.15">
      <c r="C1361" s="53"/>
      <c r="D1361" s="50"/>
      <c r="E1361" s="51"/>
      <c r="F1361" s="52"/>
      <c r="G1361" s="53"/>
      <c r="H1361" s="53"/>
    </row>
    <row r="1362" spans="3:8" x14ac:dyDescent="0.15">
      <c r="C1362" s="53"/>
      <c r="D1362" s="50"/>
      <c r="E1362" s="51"/>
      <c r="F1362" s="52"/>
      <c r="G1362" s="53"/>
      <c r="H1362" s="53"/>
    </row>
    <row r="1363" spans="3:8" x14ac:dyDescent="0.15">
      <c r="C1363" s="53"/>
      <c r="D1363" s="50"/>
      <c r="E1363" s="51"/>
      <c r="F1363" s="52"/>
      <c r="G1363" s="53"/>
      <c r="H1363" s="53"/>
    </row>
    <row r="1364" spans="3:8" x14ac:dyDescent="0.15">
      <c r="C1364" s="53"/>
      <c r="D1364" s="50"/>
      <c r="E1364" s="51"/>
      <c r="F1364" s="52"/>
      <c r="G1364" s="53"/>
      <c r="H1364" s="53"/>
    </row>
    <row r="1365" spans="3:8" x14ac:dyDescent="0.15">
      <c r="C1365" s="53"/>
      <c r="D1365" s="50"/>
      <c r="E1365" s="51"/>
      <c r="F1365" s="52"/>
      <c r="G1365" s="53"/>
      <c r="H1365" s="53"/>
    </row>
    <row r="1366" spans="3:8" x14ac:dyDescent="0.15">
      <c r="C1366" s="53"/>
      <c r="D1366" s="50"/>
      <c r="E1366" s="51"/>
      <c r="F1366" s="52"/>
      <c r="G1366" s="53"/>
      <c r="H1366" s="53"/>
    </row>
    <row r="1367" spans="3:8" x14ac:dyDescent="0.15">
      <c r="C1367" s="53"/>
      <c r="D1367" s="50"/>
      <c r="E1367" s="51"/>
      <c r="F1367" s="52"/>
      <c r="G1367" s="53"/>
      <c r="H1367" s="53"/>
    </row>
    <row r="1368" spans="3:8" x14ac:dyDescent="0.15">
      <c r="C1368" s="53"/>
      <c r="D1368" s="50"/>
      <c r="E1368" s="51"/>
      <c r="F1368" s="52"/>
      <c r="G1368" s="53"/>
      <c r="H1368" s="53"/>
    </row>
    <row r="1369" spans="3:8" x14ac:dyDescent="0.15">
      <c r="C1369" s="53"/>
      <c r="D1369" s="50"/>
      <c r="E1369" s="51"/>
      <c r="F1369" s="52"/>
      <c r="G1369" s="53"/>
      <c r="H1369" s="53"/>
    </row>
    <row r="1370" spans="3:8" x14ac:dyDescent="0.15">
      <c r="C1370" s="53"/>
      <c r="D1370" s="50"/>
      <c r="E1370" s="51"/>
      <c r="F1370" s="52"/>
      <c r="G1370" s="53"/>
      <c r="H1370" s="53"/>
    </row>
    <row r="1371" spans="3:8" x14ac:dyDescent="0.15">
      <c r="C1371" s="53"/>
      <c r="D1371" s="50"/>
      <c r="E1371" s="51"/>
      <c r="F1371" s="52"/>
      <c r="G1371" s="53"/>
      <c r="H1371" s="53"/>
    </row>
    <row r="1372" spans="3:8" x14ac:dyDescent="0.15">
      <c r="C1372" s="53"/>
      <c r="D1372" s="50"/>
      <c r="E1372" s="51"/>
      <c r="F1372" s="52"/>
      <c r="G1372" s="53"/>
      <c r="H1372" s="53"/>
    </row>
    <row r="1373" spans="3:8" x14ac:dyDescent="0.15">
      <c r="C1373" s="53"/>
      <c r="D1373" s="50"/>
      <c r="E1373" s="51"/>
      <c r="F1373" s="52"/>
      <c r="G1373" s="53"/>
      <c r="H1373" s="53"/>
    </row>
    <row r="1374" spans="3:8" x14ac:dyDescent="0.15">
      <c r="C1374" s="53"/>
      <c r="D1374" s="50"/>
      <c r="E1374" s="51"/>
      <c r="F1374" s="52"/>
      <c r="G1374" s="53"/>
      <c r="H1374" s="53"/>
    </row>
    <row r="1375" spans="3:8" x14ac:dyDescent="0.15">
      <c r="C1375" s="53"/>
      <c r="D1375" s="50"/>
      <c r="E1375" s="51"/>
      <c r="F1375" s="52"/>
      <c r="G1375" s="53"/>
      <c r="H1375" s="53"/>
    </row>
    <row r="1376" spans="3:8" x14ac:dyDescent="0.15">
      <c r="C1376" s="53"/>
      <c r="D1376" s="50"/>
      <c r="E1376" s="51"/>
      <c r="F1376" s="52"/>
      <c r="G1376" s="53"/>
      <c r="H1376" s="53"/>
    </row>
    <row r="1377" spans="3:8" x14ac:dyDescent="0.15">
      <c r="C1377" s="53"/>
      <c r="D1377" s="50"/>
      <c r="E1377" s="51"/>
      <c r="F1377" s="52"/>
      <c r="G1377" s="53"/>
      <c r="H1377" s="53"/>
    </row>
    <row r="1378" spans="3:8" x14ac:dyDescent="0.15">
      <c r="C1378" s="53"/>
      <c r="D1378" s="50"/>
      <c r="E1378" s="51"/>
      <c r="F1378" s="52"/>
      <c r="G1378" s="53"/>
      <c r="H1378" s="53"/>
    </row>
    <row r="1379" spans="3:8" x14ac:dyDescent="0.15">
      <c r="C1379" s="53"/>
      <c r="D1379" s="50"/>
      <c r="E1379" s="51"/>
      <c r="F1379" s="52"/>
      <c r="G1379" s="53"/>
      <c r="H1379" s="53"/>
    </row>
    <row r="1380" spans="3:8" x14ac:dyDescent="0.15">
      <c r="C1380" s="53"/>
      <c r="D1380" s="50"/>
      <c r="E1380" s="51"/>
      <c r="F1380" s="52"/>
      <c r="G1380" s="53"/>
      <c r="H1380" s="53"/>
    </row>
    <row r="1381" spans="3:8" x14ac:dyDescent="0.15">
      <c r="C1381" s="53"/>
      <c r="D1381" s="50"/>
      <c r="E1381" s="51"/>
      <c r="F1381" s="52"/>
      <c r="G1381" s="53"/>
      <c r="H1381" s="53"/>
    </row>
    <row r="1382" spans="3:8" x14ac:dyDescent="0.15">
      <c r="C1382" s="53"/>
      <c r="D1382" s="50"/>
      <c r="E1382" s="51"/>
      <c r="F1382" s="52"/>
      <c r="G1382" s="53"/>
      <c r="H1382" s="53"/>
    </row>
    <row r="1383" spans="3:8" x14ac:dyDescent="0.15">
      <c r="C1383" s="53"/>
      <c r="D1383" s="50"/>
      <c r="E1383" s="51"/>
      <c r="F1383" s="52"/>
      <c r="G1383" s="53"/>
      <c r="H1383" s="53"/>
    </row>
    <row r="1384" spans="3:8" x14ac:dyDescent="0.15">
      <c r="C1384" s="53"/>
      <c r="D1384" s="50"/>
      <c r="E1384" s="51"/>
      <c r="F1384" s="52"/>
      <c r="G1384" s="53"/>
      <c r="H1384" s="53"/>
    </row>
    <row r="1385" spans="3:8" x14ac:dyDescent="0.15">
      <c r="C1385" s="53"/>
      <c r="D1385" s="50"/>
      <c r="E1385" s="51"/>
      <c r="F1385" s="52"/>
      <c r="G1385" s="53"/>
      <c r="H1385" s="53"/>
    </row>
    <row r="1386" spans="3:8" x14ac:dyDescent="0.15">
      <c r="C1386" s="53"/>
      <c r="D1386" s="50"/>
      <c r="E1386" s="51"/>
      <c r="F1386" s="52"/>
      <c r="G1386" s="53"/>
      <c r="H1386" s="53"/>
    </row>
    <row r="1387" spans="3:8" x14ac:dyDescent="0.15">
      <c r="C1387" s="53"/>
      <c r="D1387" s="50"/>
      <c r="E1387" s="51"/>
      <c r="F1387" s="52"/>
      <c r="G1387" s="53"/>
      <c r="H1387" s="53"/>
    </row>
    <row r="1388" spans="3:8" x14ac:dyDescent="0.15">
      <c r="C1388" s="53"/>
      <c r="D1388" s="50"/>
      <c r="E1388" s="51"/>
      <c r="F1388" s="52"/>
      <c r="G1388" s="53"/>
      <c r="H1388" s="53"/>
    </row>
    <row r="1389" spans="3:8" x14ac:dyDescent="0.15">
      <c r="C1389" s="53"/>
      <c r="D1389" s="50"/>
      <c r="E1389" s="51"/>
      <c r="F1389" s="52"/>
      <c r="G1389" s="53"/>
      <c r="H1389" s="53"/>
    </row>
    <row r="1390" spans="3:8" x14ac:dyDescent="0.15">
      <c r="C1390" s="53"/>
      <c r="D1390" s="50"/>
      <c r="E1390" s="51"/>
      <c r="F1390" s="52"/>
      <c r="G1390" s="53"/>
      <c r="H1390" s="53"/>
    </row>
    <row r="1391" spans="3:8" x14ac:dyDescent="0.15">
      <c r="C1391" s="53"/>
      <c r="D1391" s="50"/>
      <c r="E1391" s="51"/>
      <c r="F1391" s="52"/>
      <c r="G1391" s="53"/>
      <c r="H1391" s="53"/>
    </row>
    <row r="1392" spans="3:8" x14ac:dyDescent="0.15">
      <c r="C1392" s="53"/>
      <c r="D1392" s="50"/>
      <c r="E1392" s="51"/>
      <c r="F1392" s="52"/>
      <c r="G1392" s="53"/>
      <c r="H1392" s="53"/>
    </row>
    <row r="1393" spans="3:8" x14ac:dyDescent="0.15">
      <c r="C1393" s="53"/>
      <c r="D1393" s="50"/>
      <c r="E1393" s="51"/>
      <c r="F1393" s="52"/>
      <c r="G1393" s="53"/>
      <c r="H1393" s="53"/>
    </row>
    <row r="1394" spans="3:8" x14ac:dyDescent="0.15">
      <c r="C1394" s="53"/>
      <c r="D1394" s="50"/>
      <c r="E1394" s="51"/>
      <c r="F1394" s="52"/>
      <c r="G1394" s="53"/>
      <c r="H1394" s="53"/>
    </row>
    <row r="1395" spans="3:8" x14ac:dyDescent="0.15">
      <c r="C1395" s="53"/>
      <c r="D1395" s="50"/>
      <c r="E1395" s="51"/>
      <c r="F1395" s="52"/>
      <c r="G1395" s="53"/>
      <c r="H1395" s="53"/>
    </row>
    <row r="1396" spans="3:8" x14ac:dyDescent="0.15">
      <c r="C1396" s="53"/>
      <c r="D1396" s="50"/>
      <c r="E1396" s="51"/>
      <c r="F1396" s="52"/>
      <c r="G1396" s="53"/>
      <c r="H1396" s="53"/>
    </row>
    <row r="1397" spans="3:8" x14ac:dyDescent="0.15">
      <c r="C1397" s="53"/>
      <c r="D1397" s="50"/>
      <c r="E1397" s="51"/>
      <c r="F1397" s="52"/>
      <c r="G1397" s="53"/>
      <c r="H1397" s="53"/>
    </row>
    <row r="1398" spans="3:8" x14ac:dyDescent="0.15">
      <c r="C1398" s="53"/>
      <c r="D1398" s="50"/>
      <c r="E1398" s="51"/>
      <c r="F1398" s="52"/>
      <c r="G1398" s="53"/>
      <c r="H1398" s="53"/>
    </row>
    <row r="1399" spans="3:8" x14ac:dyDescent="0.15">
      <c r="C1399" s="53"/>
      <c r="D1399" s="50"/>
      <c r="E1399" s="51"/>
      <c r="F1399" s="52"/>
      <c r="G1399" s="53"/>
      <c r="H1399" s="53"/>
    </row>
    <row r="1400" spans="3:8" x14ac:dyDescent="0.15">
      <c r="C1400" s="53"/>
      <c r="D1400" s="50"/>
      <c r="E1400" s="51"/>
      <c r="F1400" s="52"/>
      <c r="G1400" s="53"/>
      <c r="H1400" s="53"/>
    </row>
    <row r="1401" spans="3:8" x14ac:dyDescent="0.15">
      <c r="C1401" s="53"/>
      <c r="D1401" s="50"/>
      <c r="E1401" s="51"/>
      <c r="F1401" s="52"/>
      <c r="G1401" s="53"/>
      <c r="H1401" s="53"/>
    </row>
    <row r="1402" spans="3:8" x14ac:dyDescent="0.15">
      <c r="C1402" s="53"/>
      <c r="D1402" s="50"/>
      <c r="E1402" s="51"/>
      <c r="F1402" s="52"/>
      <c r="G1402" s="53"/>
      <c r="H1402" s="53"/>
    </row>
    <row r="1403" spans="3:8" x14ac:dyDescent="0.15">
      <c r="C1403" s="53"/>
      <c r="D1403" s="50"/>
      <c r="E1403" s="51"/>
      <c r="F1403" s="52"/>
      <c r="G1403" s="53"/>
      <c r="H1403" s="53"/>
    </row>
    <row r="1404" spans="3:8" x14ac:dyDescent="0.15">
      <c r="C1404" s="53"/>
      <c r="D1404" s="50"/>
      <c r="E1404" s="51"/>
      <c r="F1404" s="52"/>
      <c r="G1404" s="53"/>
      <c r="H1404" s="53"/>
    </row>
    <row r="1405" spans="3:8" x14ac:dyDescent="0.15">
      <c r="C1405" s="53"/>
      <c r="D1405" s="50"/>
      <c r="E1405" s="51"/>
      <c r="F1405" s="52"/>
      <c r="G1405" s="53"/>
      <c r="H1405" s="53"/>
    </row>
    <row r="1406" spans="3:8" x14ac:dyDescent="0.15">
      <c r="C1406" s="53"/>
      <c r="D1406" s="50"/>
      <c r="E1406" s="51"/>
      <c r="F1406" s="52"/>
      <c r="G1406" s="53"/>
      <c r="H1406" s="53"/>
    </row>
    <row r="1407" spans="3:8" x14ac:dyDescent="0.15">
      <c r="C1407" s="53"/>
      <c r="D1407" s="50"/>
      <c r="E1407" s="51"/>
      <c r="F1407" s="52"/>
      <c r="G1407" s="53"/>
      <c r="H1407" s="53"/>
    </row>
    <row r="1408" spans="3:8" x14ac:dyDescent="0.15">
      <c r="C1408" s="53"/>
      <c r="D1408" s="50"/>
      <c r="E1408" s="51"/>
      <c r="F1408" s="52"/>
      <c r="G1408" s="53"/>
      <c r="H1408" s="53"/>
    </row>
    <row r="1409" spans="3:8" x14ac:dyDescent="0.15">
      <c r="C1409" s="53"/>
      <c r="D1409" s="50"/>
      <c r="E1409" s="51"/>
      <c r="F1409" s="52"/>
      <c r="G1409" s="53"/>
      <c r="H1409" s="53"/>
    </row>
    <row r="1410" spans="3:8" x14ac:dyDescent="0.15">
      <c r="C1410" s="53"/>
      <c r="D1410" s="50"/>
      <c r="E1410" s="51"/>
      <c r="F1410" s="52"/>
      <c r="G1410" s="53"/>
      <c r="H1410" s="53"/>
    </row>
    <row r="1411" spans="3:8" x14ac:dyDescent="0.15">
      <c r="C1411" s="53"/>
      <c r="D1411" s="50"/>
      <c r="E1411" s="51"/>
      <c r="F1411" s="52"/>
      <c r="G1411" s="53"/>
      <c r="H1411" s="53"/>
    </row>
    <row r="1412" spans="3:8" x14ac:dyDescent="0.15">
      <c r="C1412" s="53"/>
      <c r="D1412" s="50"/>
      <c r="E1412" s="51"/>
      <c r="F1412" s="52"/>
      <c r="G1412" s="53"/>
      <c r="H1412" s="53"/>
    </row>
    <row r="1413" spans="3:8" x14ac:dyDescent="0.15">
      <c r="C1413" s="53"/>
      <c r="D1413" s="50"/>
      <c r="E1413" s="51"/>
      <c r="F1413" s="52"/>
      <c r="G1413" s="53"/>
      <c r="H1413" s="53"/>
    </row>
    <row r="1414" spans="3:8" x14ac:dyDescent="0.15">
      <c r="C1414" s="53"/>
      <c r="D1414" s="50"/>
      <c r="E1414" s="51"/>
      <c r="F1414" s="52"/>
      <c r="G1414" s="53"/>
      <c r="H1414" s="53"/>
    </row>
    <row r="1415" spans="3:8" x14ac:dyDescent="0.15">
      <c r="C1415" s="53"/>
      <c r="D1415" s="50"/>
      <c r="E1415" s="51"/>
      <c r="F1415" s="52"/>
      <c r="G1415" s="53"/>
      <c r="H1415" s="53"/>
    </row>
    <row r="1416" spans="3:8" x14ac:dyDescent="0.15">
      <c r="C1416" s="53"/>
      <c r="D1416" s="50"/>
      <c r="E1416" s="51"/>
      <c r="F1416" s="52"/>
      <c r="G1416" s="53"/>
      <c r="H1416" s="53"/>
    </row>
    <row r="1417" spans="3:8" x14ac:dyDescent="0.15">
      <c r="C1417" s="53"/>
      <c r="D1417" s="50"/>
      <c r="E1417" s="51"/>
      <c r="F1417" s="52"/>
      <c r="G1417" s="53"/>
      <c r="H1417" s="53"/>
    </row>
    <row r="1418" spans="3:8" x14ac:dyDescent="0.15">
      <c r="C1418" s="53"/>
      <c r="D1418" s="50"/>
      <c r="E1418" s="51"/>
      <c r="F1418" s="52"/>
      <c r="G1418" s="53"/>
      <c r="H1418" s="53"/>
    </row>
    <row r="1419" spans="3:8" x14ac:dyDescent="0.15">
      <c r="C1419" s="53"/>
      <c r="D1419" s="50"/>
      <c r="E1419" s="51"/>
      <c r="F1419" s="52"/>
      <c r="G1419" s="53"/>
      <c r="H1419" s="53"/>
    </row>
    <row r="1420" spans="3:8" x14ac:dyDescent="0.15">
      <c r="C1420" s="53"/>
      <c r="D1420" s="50"/>
      <c r="E1420" s="51"/>
      <c r="F1420" s="52"/>
      <c r="G1420" s="53"/>
      <c r="H1420" s="53"/>
    </row>
    <row r="1421" spans="3:8" x14ac:dyDescent="0.15">
      <c r="C1421" s="53"/>
      <c r="D1421" s="50"/>
      <c r="E1421" s="51"/>
      <c r="F1421" s="52"/>
      <c r="G1421" s="53"/>
      <c r="H1421" s="53"/>
    </row>
    <row r="1422" spans="3:8" x14ac:dyDescent="0.15">
      <c r="C1422" s="53"/>
      <c r="D1422" s="50"/>
      <c r="E1422" s="51"/>
      <c r="F1422" s="52"/>
      <c r="G1422" s="53"/>
      <c r="H1422" s="53"/>
    </row>
    <row r="1423" spans="3:8" x14ac:dyDescent="0.15">
      <c r="C1423" s="53"/>
      <c r="D1423" s="50"/>
      <c r="E1423" s="51"/>
      <c r="F1423" s="52"/>
      <c r="G1423" s="53"/>
      <c r="H1423" s="53"/>
    </row>
    <row r="1424" spans="3:8" x14ac:dyDescent="0.15">
      <c r="C1424" s="53"/>
      <c r="D1424" s="50"/>
      <c r="E1424" s="51"/>
      <c r="F1424" s="52"/>
      <c r="G1424" s="53"/>
      <c r="H1424" s="53"/>
    </row>
    <row r="1425" spans="3:8" x14ac:dyDescent="0.15">
      <c r="C1425" s="53"/>
      <c r="D1425" s="50"/>
      <c r="E1425" s="51"/>
      <c r="F1425" s="52"/>
      <c r="G1425" s="53"/>
      <c r="H1425" s="53"/>
    </row>
    <row r="1426" spans="3:8" x14ac:dyDescent="0.15">
      <c r="C1426" s="53"/>
      <c r="D1426" s="50"/>
      <c r="E1426" s="51"/>
      <c r="F1426" s="52"/>
      <c r="G1426" s="53"/>
      <c r="H1426" s="53"/>
    </row>
    <row r="1427" spans="3:8" x14ac:dyDescent="0.15">
      <c r="C1427" s="53"/>
      <c r="D1427" s="50"/>
      <c r="E1427" s="51"/>
      <c r="F1427" s="52"/>
      <c r="G1427" s="53"/>
      <c r="H1427" s="53"/>
    </row>
    <row r="1428" spans="3:8" x14ac:dyDescent="0.15">
      <c r="C1428" s="53"/>
      <c r="D1428" s="50"/>
      <c r="E1428" s="51"/>
      <c r="F1428" s="52"/>
      <c r="G1428" s="53"/>
      <c r="H1428" s="53"/>
    </row>
    <row r="1429" spans="3:8" x14ac:dyDescent="0.15">
      <c r="C1429" s="53"/>
      <c r="D1429" s="50"/>
      <c r="E1429" s="51"/>
      <c r="F1429" s="52"/>
      <c r="G1429" s="53"/>
      <c r="H1429" s="53"/>
    </row>
    <row r="1430" spans="3:8" x14ac:dyDescent="0.15">
      <c r="C1430" s="53"/>
      <c r="D1430" s="50"/>
      <c r="E1430" s="51"/>
      <c r="F1430" s="52"/>
      <c r="G1430" s="53"/>
      <c r="H1430" s="53"/>
    </row>
    <row r="1431" spans="3:8" x14ac:dyDescent="0.15">
      <c r="C1431" s="53"/>
      <c r="D1431" s="50"/>
      <c r="E1431" s="51"/>
      <c r="F1431" s="52"/>
      <c r="G1431" s="53"/>
      <c r="H1431" s="53"/>
    </row>
    <row r="1432" spans="3:8" x14ac:dyDescent="0.15">
      <c r="C1432" s="53"/>
      <c r="D1432" s="50"/>
      <c r="E1432" s="51"/>
      <c r="F1432" s="52"/>
      <c r="G1432" s="53"/>
      <c r="H1432" s="53"/>
    </row>
    <row r="1433" spans="3:8" x14ac:dyDescent="0.15">
      <c r="C1433" s="53"/>
      <c r="D1433" s="50"/>
      <c r="E1433" s="51"/>
      <c r="F1433" s="52"/>
      <c r="G1433" s="53"/>
      <c r="H1433" s="53"/>
    </row>
    <row r="1434" spans="3:8" x14ac:dyDescent="0.15">
      <c r="C1434" s="53"/>
      <c r="D1434" s="50"/>
      <c r="E1434" s="51"/>
      <c r="F1434" s="52"/>
      <c r="G1434" s="53"/>
      <c r="H1434" s="53"/>
    </row>
    <row r="1435" spans="3:8" x14ac:dyDescent="0.15">
      <c r="C1435" s="53"/>
      <c r="D1435" s="50"/>
      <c r="E1435" s="51"/>
      <c r="F1435" s="52"/>
      <c r="G1435" s="53"/>
      <c r="H1435" s="53"/>
    </row>
    <row r="1436" spans="3:8" x14ac:dyDescent="0.15">
      <c r="C1436" s="53"/>
      <c r="D1436" s="50"/>
      <c r="E1436" s="51"/>
      <c r="F1436" s="52"/>
      <c r="G1436" s="53"/>
      <c r="H1436" s="53"/>
    </row>
    <row r="1437" spans="3:8" x14ac:dyDescent="0.15">
      <c r="C1437" s="53"/>
      <c r="D1437" s="50"/>
      <c r="E1437" s="51"/>
      <c r="F1437" s="52"/>
      <c r="G1437" s="53"/>
      <c r="H1437" s="53"/>
    </row>
    <row r="1438" spans="3:8" x14ac:dyDescent="0.15">
      <c r="C1438" s="53"/>
      <c r="D1438" s="50"/>
      <c r="E1438" s="51"/>
      <c r="F1438" s="52"/>
      <c r="G1438" s="53"/>
      <c r="H1438" s="53"/>
    </row>
    <row r="1439" spans="3:8" x14ac:dyDescent="0.15">
      <c r="C1439" s="53"/>
      <c r="D1439" s="50"/>
      <c r="E1439" s="51"/>
      <c r="F1439" s="52"/>
      <c r="G1439" s="53"/>
      <c r="H1439" s="53"/>
    </row>
    <row r="1440" spans="3:8" x14ac:dyDescent="0.15">
      <c r="C1440" s="53"/>
      <c r="D1440" s="50"/>
      <c r="E1440" s="51"/>
      <c r="F1440" s="52"/>
      <c r="G1440" s="53"/>
      <c r="H1440" s="53"/>
    </row>
    <row r="1441" spans="3:8" x14ac:dyDescent="0.15">
      <c r="C1441" s="53"/>
      <c r="D1441" s="50"/>
      <c r="E1441" s="51"/>
      <c r="F1441" s="52"/>
      <c r="G1441" s="53"/>
      <c r="H1441" s="53"/>
    </row>
    <row r="1442" spans="3:8" x14ac:dyDescent="0.15">
      <c r="C1442" s="53"/>
      <c r="D1442" s="50"/>
      <c r="E1442" s="51"/>
      <c r="F1442" s="52"/>
      <c r="G1442" s="53"/>
      <c r="H1442" s="53"/>
    </row>
    <row r="1443" spans="3:8" x14ac:dyDescent="0.15">
      <c r="C1443" s="53"/>
      <c r="D1443" s="50"/>
      <c r="E1443" s="51"/>
      <c r="F1443" s="52"/>
      <c r="G1443" s="53"/>
      <c r="H1443" s="53"/>
    </row>
    <row r="1444" spans="3:8" x14ac:dyDescent="0.15">
      <c r="C1444" s="53"/>
      <c r="D1444" s="50"/>
      <c r="E1444" s="51"/>
      <c r="F1444" s="52"/>
      <c r="G1444" s="53"/>
      <c r="H1444" s="53"/>
    </row>
    <row r="1445" spans="3:8" x14ac:dyDescent="0.15">
      <c r="C1445" s="53"/>
      <c r="D1445" s="50"/>
      <c r="E1445" s="51"/>
      <c r="F1445" s="52"/>
      <c r="G1445" s="53"/>
      <c r="H1445" s="53"/>
    </row>
    <row r="1446" spans="3:8" x14ac:dyDescent="0.15">
      <c r="C1446" s="53"/>
      <c r="D1446" s="50"/>
      <c r="E1446" s="51"/>
      <c r="F1446" s="52"/>
      <c r="G1446" s="53"/>
      <c r="H1446" s="53"/>
    </row>
    <row r="1447" spans="3:8" x14ac:dyDescent="0.15">
      <c r="C1447" s="53"/>
      <c r="D1447" s="50"/>
      <c r="E1447" s="51"/>
      <c r="F1447" s="52"/>
      <c r="G1447" s="53"/>
      <c r="H1447" s="53"/>
    </row>
    <row r="1448" spans="3:8" x14ac:dyDescent="0.15">
      <c r="C1448" s="53"/>
      <c r="D1448" s="50"/>
      <c r="E1448" s="51"/>
      <c r="F1448" s="52"/>
      <c r="G1448" s="53"/>
      <c r="H1448" s="53"/>
    </row>
    <row r="1449" spans="3:8" x14ac:dyDescent="0.15">
      <c r="C1449" s="53"/>
      <c r="D1449" s="50"/>
      <c r="E1449" s="51"/>
      <c r="F1449" s="52"/>
      <c r="G1449" s="53"/>
      <c r="H1449" s="53"/>
    </row>
    <row r="1450" spans="3:8" x14ac:dyDescent="0.15">
      <c r="C1450" s="53"/>
      <c r="D1450" s="50"/>
      <c r="E1450" s="51"/>
      <c r="F1450" s="52"/>
      <c r="G1450" s="53"/>
      <c r="H1450" s="53"/>
    </row>
    <row r="1451" spans="3:8" x14ac:dyDescent="0.15">
      <c r="C1451" s="53"/>
      <c r="D1451" s="50"/>
      <c r="E1451" s="51"/>
      <c r="F1451" s="52"/>
      <c r="G1451" s="53"/>
      <c r="H1451" s="53"/>
    </row>
    <row r="1452" spans="3:8" x14ac:dyDescent="0.15">
      <c r="C1452" s="53"/>
      <c r="D1452" s="50"/>
      <c r="E1452" s="51"/>
      <c r="F1452" s="52"/>
      <c r="G1452" s="53"/>
      <c r="H1452" s="53"/>
    </row>
    <row r="1453" spans="3:8" x14ac:dyDescent="0.15">
      <c r="C1453" s="53"/>
      <c r="D1453" s="50"/>
      <c r="E1453" s="51"/>
      <c r="F1453" s="52"/>
      <c r="G1453" s="53"/>
      <c r="H1453" s="53"/>
    </row>
    <row r="1454" spans="3:8" x14ac:dyDescent="0.15">
      <c r="C1454" s="53"/>
      <c r="D1454" s="50"/>
      <c r="E1454" s="51"/>
      <c r="F1454" s="52"/>
      <c r="G1454" s="53"/>
      <c r="H1454" s="53"/>
    </row>
    <row r="1455" spans="3:8" x14ac:dyDescent="0.15">
      <c r="C1455" s="53"/>
      <c r="D1455" s="50"/>
      <c r="E1455" s="51"/>
      <c r="F1455" s="52"/>
      <c r="G1455" s="53"/>
      <c r="H1455" s="53"/>
    </row>
    <row r="1456" spans="3:8" x14ac:dyDescent="0.15">
      <c r="C1456" s="53"/>
      <c r="D1456" s="50"/>
      <c r="E1456" s="51"/>
      <c r="F1456" s="52"/>
      <c r="G1456" s="53"/>
      <c r="H1456" s="53"/>
    </row>
    <row r="1457" spans="3:8" x14ac:dyDescent="0.15">
      <c r="C1457" s="53"/>
      <c r="D1457" s="50"/>
      <c r="E1457" s="51"/>
      <c r="F1457" s="52"/>
      <c r="G1457" s="53"/>
      <c r="H1457" s="53"/>
    </row>
    <row r="1458" spans="3:8" x14ac:dyDescent="0.15">
      <c r="C1458" s="53"/>
      <c r="D1458" s="50"/>
      <c r="E1458" s="51"/>
      <c r="F1458" s="52"/>
      <c r="G1458" s="53"/>
      <c r="H1458" s="53"/>
    </row>
    <row r="1459" spans="3:8" x14ac:dyDescent="0.15">
      <c r="C1459" s="53"/>
      <c r="D1459" s="50"/>
      <c r="E1459" s="51"/>
      <c r="F1459" s="52"/>
      <c r="G1459" s="53"/>
      <c r="H1459" s="53"/>
    </row>
    <row r="1460" spans="3:8" x14ac:dyDescent="0.15">
      <c r="C1460" s="53"/>
      <c r="D1460" s="50"/>
      <c r="E1460" s="51"/>
      <c r="F1460" s="52"/>
      <c r="G1460" s="53"/>
      <c r="H1460" s="53"/>
    </row>
    <row r="1461" spans="3:8" x14ac:dyDescent="0.15">
      <c r="C1461" s="53"/>
      <c r="D1461" s="50"/>
      <c r="E1461" s="51"/>
      <c r="F1461" s="52"/>
      <c r="G1461" s="53"/>
      <c r="H1461" s="53"/>
    </row>
    <row r="1462" spans="3:8" x14ac:dyDescent="0.15">
      <c r="C1462" s="53"/>
      <c r="D1462" s="50"/>
      <c r="E1462" s="51"/>
      <c r="F1462" s="52"/>
      <c r="G1462" s="53"/>
      <c r="H1462" s="53"/>
    </row>
    <row r="1463" spans="3:8" x14ac:dyDescent="0.15">
      <c r="C1463" s="53"/>
      <c r="D1463" s="50"/>
      <c r="E1463" s="51"/>
      <c r="F1463" s="52"/>
      <c r="G1463" s="53"/>
      <c r="H1463" s="53"/>
    </row>
    <row r="1464" spans="3:8" x14ac:dyDescent="0.15">
      <c r="C1464" s="53"/>
      <c r="D1464" s="50"/>
      <c r="E1464" s="51"/>
      <c r="F1464" s="52"/>
      <c r="G1464" s="53"/>
      <c r="H1464" s="53"/>
    </row>
    <row r="1465" spans="3:8" x14ac:dyDescent="0.15">
      <c r="C1465" s="53"/>
      <c r="D1465" s="50"/>
      <c r="E1465" s="51"/>
      <c r="F1465" s="52"/>
      <c r="G1465" s="53"/>
      <c r="H1465" s="53"/>
    </row>
    <row r="1466" spans="3:8" x14ac:dyDescent="0.15">
      <c r="C1466" s="53"/>
      <c r="D1466" s="50"/>
      <c r="E1466" s="51"/>
      <c r="F1466" s="52"/>
      <c r="G1466" s="53"/>
      <c r="H1466" s="53"/>
    </row>
    <row r="1467" spans="3:8" x14ac:dyDescent="0.15">
      <c r="C1467" s="53"/>
      <c r="D1467" s="50"/>
      <c r="E1467" s="51"/>
      <c r="F1467" s="52"/>
      <c r="G1467" s="53"/>
      <c r="H1467" s="53"/>
    </row>
    <row r="1468" spans="3:8" x14ac:dyDescent="0.15">
      <c r="C1468" s="53"/>
      <c r="D1468" s="50"/>
      <c r="E1468" s="51"/>
      <c r="F1468" s="52"/>
      <c r="G1468" s="53"/>
      <c r="H1468" s="53"/>
    </row>
    <row r="1469" spans="3:8" x14ac:dyDescent="0.15">
      <c r="C1469" s="53"/>
      <c r="D1469" s="50"/>
      <c r="E1469" s="51"/>
      <c r="F1469" s="52"/>
      <c r="G1469" s="53"/>
      <c r="H1469" s="53"/>
    </row>
    <row r="1470" spans="3:8" x14ac:dyDescent="0.15">
      <c r="C1470" s="53"/>
      <c r="D1470" s="50"/>
      <c r="E1470" s="51"/>
      <c r="F1470" s="52"/>
      <c r="G1470" s="53"/>
      <c r="H1470" s="53"/>
    </row>
    <row r="1471" spans="3:8" x14ac:dyDescent="0.15">
      <c r="C1471" s="53"/>
      <c r="D1471" s="50"/>
      <c r="E1471" s="51"/>
      <c r="F1471" s="52"/>
      <c r="G1471" s="53"/>
      <c r="H1471" s="53"/>
    </row>
    <row r="1472" spans="3:8" x14ac:dyDescent="0.15">
      <c r="C1472" s="53"/>
      <c r="D1472" s="50"/>
      <c r="E1472" s="51"/>
      <c r="F1472" s="52"/>
      <c r="G1472" s="53"/>
      <c r="H1472" s="53"/>
    </row>
    <row r="1473" spans="3:8" x14ac:dyDescent="0.15">
      <c r="C1473" s="53"/>
      <c r="D1473" s="50"/>
      <c r="E1473" s="51"/>
      <c r="F1473" s="52"/>
      <c r="G1473" s="53"/>
      <c r="H1473" s="53"/>
    </row>
    <row r="1474" spans="3:8" x14ac:dyDescent="0.15">
      <c r="C1474" s="53"/>
      <c r="D1474" s="50"/>
      <c r="E1474" s="51"/>
      <c r="F1474" s="52"/>
      <c r="G1474" s="53"/>
      <c r="H1474" s="53"/>
    </row>
    <row r="1475" spans="3:8" x14ac:dyDescent="0.15">
      <c r="C1475" s="53"/>
      <c r="D1475" s="50"/>
      <c r="E1475" s="51"/>
      <c r="F1475" s="52"/>
      <c r="G1475" s="53"/>
      <c r="H1475" s="53"/>
    </row>
    <row r="1476" spans="3:8" x14ac:dyDescent="0.15">
      <c r="C1476" s="53"/>
      <c r="D1476" s="50"/>
      <c r="E1476" s="51"/>
      <c r="F1476" s="52"/>
      <c r="G1476" s="53"/>
      <c r="H1476" s="53"/>
    </row>
    <row r="1477" spans="3:8" x14ac:dyDescent="0.15">
      <c r="C1477" s="53"/>
      <c r="D1477" s="50"/>
      <c r="E1477" s="51"/>
      <c r="F1477" s="52"/>
      <c r="G1477" s="53"/>
      <c r="H1477" s="53"/>
    </row>
    <row r="1478" spans="3:8" x14ac:dyDescent="0.15">
      <c r="C1478" s="53"/>
      <c r="D1478" s="50"/>
      <c r="E1478" s="51"/>
      <c r="F1478" s="52"/>
      <c r="G1478" s="53"/>
      <c r="H1478" s="53"/>
    </row>
    <row r="1479" spans="3:8" x14ac:dyDescent="0.15">
      <c r="C1479" s="53"/>
      <c r="D1479" s="50"/>
      <c r="E1479" s="51"/>
      <c r="F1479" s="52"/>
      <c r="G1479" s="53"/>
      <c r="H1479" s="53"/>
    </row>
    <row r="1480" spans="3:8" x14ac:dyDescent="0.15">
      <c r="C1480" s="53"/>
      <c r="D1480" s="50"/>
      <c r="E1480" s="51"/>
      <c r="F1480" s="52"/>
      <c r="G1480" s="53"/>
      <c r="H1480" s="53"/>
    </row>
    <row r="1481" spans="3:8" x14ac:dyDescent="0.15">
      <c r="C1481" s="53"/>
      <c r="D1481" s="50"/>
      <c r="E1481" s="51"/>
      <c r="F1481" s="52"/>
      <c r="G1481" s="53"/>
      <c r="H1481" s="53"/>
    </row>
    <row r="1482" spans="3:8" x14ac:dyDescent="0.15">
      <c r="C1482" s="53"/>
      <c r="D1482" s="50"/>
      <c r="E1482" s="51"/>
      <c r="F1482" s="52"/>
      <c r="G1482" s="53"/>
      <c r="H1482" s="53"/>
    </row>
    <row r="1483" spans="3:8" x14ac:dyDescent="0.15">
      <c r="C1483" s="53"/>
      <c r="D1483" s="50"/>
      <c r="E1483" s="51"/>
      <c r="F1483" s="52"/>
      <c r="G1483" s="53"/>
      <c r="H1483" s="53"/>
    </row>
    <row r="1484" spans="3:8" x14ac:dyDescent="0.15">
      <c r="C1484" s="53"/>
      <c r="D1484" s="50"/>
      <c r="E1484" s="51"/>
      <c r="F1484" s="52"/>
      <c r="G1484" s="53"/>
      <c r="H1484" s="53"/>
    </row>
    <row r="1485" spans="3:8" x14ac:dyDescent="0.15">
      <c r="C1485" s="53"/>
      <c r="D1485" s="50"/>
      <c r="E1485" s="51"/>
      <c r="F1485" s="52"/>
      <c r="G1485" s="53"/>
      <c r="H1485" s="53"/>
    </row>
    <row r="1486" spans="3:8" x14ac:dyDescent="0.15">
      <c r="C1486" s="53"/>
      <c r="D1486" s="50"/>
      <c r="E1486" s="51"/>
      <c r="F1486" s="52"/>
      <c r="G1486" s="53"/>
      <c r="H1486" s="53"/>
    </row>
    <row r="1487" spans="3:8" x14ac:dyDescent="0.15">
      <c r="C1487" s="53"/>
      <c r="D1487" s="50"/>
      <c r="E1487" s="51"/>
      <c r="F1487" s="52"/>
      <c r="G1487" s="53"/>
      <c r="H1487" s="53"/>
    </row>
    <row r="1488" spans="3:8" x14ac:dyDescent="0.15">
      <c r="C1488" s="53"/>
      <c r="D1488" s="50"/>
      <c r="E1488" s="51"/>
      <c r="F1488" s="52"/>
      <c r="G1488" s="53"/>
      <c r="H1488" s="53"/>
    </row>
    <row r="1489" spans="3:8" x14ac:dyDescent="0.15">
      <c r="C1489" s="53"/>
      <c r="D1489" s="50"/>
      <c r="E1489" s="51"/>
      <c r="F1489" s="52"/>
      <c r="G1489" s="53"/>
      <c r="H1489" s="53"/>
    </row>
    <row r="1490" spans="3:8" x14ac:dyDescent="0.15">
      <c r="C1490" s="53"/>
      <c r="D1490" s="50"/>
      <c r="E1490" s="51"/>
      <c r="F1490" s="52"/>
      <c r="G1490" s="53"/>
      <c r="H1490" s="53"/>
    </row>
    <row r="1491" spans="3:8" x14ac:dyDescent="0.15">
      <c r="C1491" s="53"/>
      <c r="D1491" s="50"/>
      <c r="E1491" s="51"/>
      <c r="F1491" s="52"/>
      <c r="G1491" s="53"/>
      <c r="H1491" s="53"/>
    </row>
    <row r="1492" spans="3:8" x14ac:dyDescent="0.15">
      <c r="C1492" s="53"/>
      <c r="D1492" s="50"/>
      <c r="E1492" s="51"/>
      <c r="F1492" s="52"/>
      <c r="G1492" s="53"/>
      <c r="H1492" s="53"/>
    </row>
    <row r="1493" spans="3:8" x14ac:dyDescent="0.15">
      <c r="C1493" s="53"/>
      <c r="D1493" s="50"/>
      <c r="E1493" s="51"/>
      <c r="F1493" s="52"/>
      <c r="G1493" s="53"/>
      <c r="H1493" s="53"/>
    </row>
    <row r="1494" spans="3:8" x14ac:dyDescent="0.15">
      <c r="C1494" s="53"/>
      <c r="D1494" s="50"/>
      <c r="E1494" s="51"/>
      <c r="F1494" s="52"/>
      <c r="G1494" s="53"/>
      <c r="H1494" s="53"/>
    </row>
    <row r="1495" spans="3:8" x14ac:dyDescent="0.15">
      <c r="C1495" s="53"/>
      <c r="D1495" s="50"/>
      <c r="E1495" s="51"/>
      <c r="F1495" s="52"/>
      <c r="G1495" s="53"/>
      <c r="H1495" s="53"/>
    </row>
    <row r="1496" spans="3:8" x14ac:dyDescent="0.15">
      <c r="C1496" s="53"/>
      <c r="D1496" s="50"/>
      <c r="E1496" s="51"/>
      <c r="F1496" s="52"/>
      <c r="G1496" s="53"/>
      <c r="H1496" s="53"/>
    </row>
    <row r="1497" spans="3:8" x14ac:dyDescent="0.15">
      <c r="C1497" s="53"/>
      <c r="D1497" s="50"/>
      <c r="E1497" s="51"/>
      <c r="F1497" s="52"/>
      <c r="G1497" s="53"/>
      <c r="H1497" s="53"/>
    </row>
    <row r="1498" spans="3:8" x14ac:dyDescent="0.15">
      <c r="C1498" s="53"/>
      <c r="D1498" s="50"/>
      <c r="E1498" s="51"/>
      <c r="F1498" s="52"/>
      <c r="G1498" s="53"/>
      <c r="H1498" s="53"/>
    </row>
    <row r="1499" spans="3:8" x14ac:dyDescent="0.15">
      <c r="C1499" s="53"/>
      <c r="D1499" s="50"/>
      <c r="E1499" s="51"/>
      <c r="F1499" s="52"/>
      <c r="G1499" s="53"/>
      <c r="H1499" s="53"/>
    </row>
    <row r="1500" spans="3:8" x14ac:dyDescent="0.15">
      <c r="C1500" s="53"/>
      <c r="D1500" s="50"/>
      <c r="E1500" s="51"/>
      <c r="F1500" s="52"/>
      <c r="G1500" s="53"/>
      <c r="H1500" s="53"/>
    </row>
    <row r="1501" spans="3:8" x14ac:dyDescent="0.15">
      <c r="C1501" s="53"/>
      <c r="D1501" s="50"/>
      <c r="E1501" s="51"/>
      <c r="F1501" s="52"/>
      <c r="G1501" s="53"/>
      <c r="H1501" s="53"/>
    </row>
    <row r="1502" spans="3:8" x14ac:dyDescent="0.15">
      <c r="C1502" s="53"/>
      <c r="D1502" s="50"/>
      <c r="E1502" s="51"/>
      <c r="F1502" s="52"/>
      <c r="G1502" s="53"/>
      <c r="H1502" s="53"/>
    </row>
    <row r="1503" spans="3:8" x14ac:dyDescent="0.15">
      <c r="C1503" s="53"/>
      <c r="D1503" s="50"/>
      <c r="E1503" s="51"/>
      <c r="F1503" s="52"/>
      <c r="G1503" s="53"/>
      <c r="H1503" s="53"/>
    </row>
    <row r="1504" spans="3:8" x14ac:dyDescent="0.15">
      <c r="C1504" s="53"/>
      <c r="D1504" s="50"/>
      <c r="E1504" s="51"/>
      <c r="F1504" s="52"/>
      <c r="G1504" s="53"/>
      <c r="H1504" s="53"/>
    </row>
    <row r="1505" spans="3:8" x14ac:dyDescent="0.15">
      <c r="C1505" s="53"/>
      <c r="D1505" s="50"/>
      <c r="E1505" s="51"/>
      <c r="F1505" s="52"/>
      <c r="G1505" s="53"/>
      <c r="H1505" s="53"/>
    </row>
    <row r="1506" spans="3:8" x14ac:dyDescent="0.15">
      <c r="C1506" s="53"/>
      <c r="D1506" s="50"/>
      <c r="E1506" s="51"/>
      <c r="F1506" s="52"/>
      <c r="G1506" s="53"/>
      <c r="H1506" s="53"/>
    </row>
    <row r="1507" spans="3:8" x14ac:dyDescent="0.15">
      <c r="C1507" s="53"/>
      <c r="D1507" s="50"/>
      <c r="E1507" s="51"/>
      <c r="F1507" s="52"/>
      <c r="G1507" s="53"/>
      <c r="H1507" s="53"/>
    </row>
    <row r="1508" spans="3:8" x14ac:dyDescent="0.15">
      <c r="C1508" s="53"/>
      <c r="D1508" s="50"/>
      <c r="E1508" s="51"/>
      <c r="F1508" s="52"/>
      <c r="G1508" s="53"/>
      <c r="H1508" s="53"/>
    </row>
    <row r="1509" spans="3:8" x14ac:dyDescent="0.15">
      <c r="C1509" s="53"/>
      <c r="D1509" s="50"/>
      <c r="E1509" s="51"/>
      <c r="F1509" s="52"/>
      <c r="G1509" s="53"/>
      <c r="H1509" s="53"/>
    </row>
    <row r="1510" spans="3:8" x14ac:dyDescent="0.15">
      <c r="C1510" s="53"/>
      <c r="D1510" s="50"/>
      <c r="E1510" s="51"/>
      <c r="F1510" s="52"/>
      <c r="G1510" s="53"/>
      <c r="H1510" s="53"/>
    </row>
    <row r="1511" spans="3:8" x14ac:dyDescent="0.15">
      <c r="C1511" s="53"/>
      <c r="D1511" s="50"/>
      <c r="E1511" s="51"/>
      <c r="F1511" s="52"/>
      <c r="G1511" s="53"/>
      <c r="H1511" s="53"/>
    </row>
    <row r="1512" spans="3:8" x14ac:dyDescent="0.15">
      <c r="C1512" s="53"/>
      <c r="D1512" s="50"/>
      <c r="E1512" s="51"/>
      <c r="F1512" s="52"/>
      <c r="G1512" s="53"/>
      <c r="H1512" s="53"/>
    </row>
    <row r="1513" spans="3:8" x14ac:dyDescent="0.15">
      <c r="C1513" s="53"/>
      <c r="D1513" s="50"/>
      <c r="E1513" s="51"/>
      <c r="F1513" s="52"/>
      <c r="G1513" s="53"/>
      <c r="H1513" s="53"/>
    </row>
    <row r="1514" spans="3:8" x14ac:dyDescent="0.15">
      <c r="C1514" s="53"/>
      <c r="D1514" s="50"/>
      <c r="E1514" s="51"/>
      <c r="F1514" s="52"/>
      <c r="G1514" s="53"/>
      <c r="H1514" s="53"/>
    </row>
    <row r="1515" spans="3:8" x14ac:dyDescent="0.15">
      <c r="C1515" s="53"/>
      <c r="D1515" s="50"/>
      <c r="E1515" s="51"/>
      <c r="F1515" s="52"/>
      <c r="G1515" s="53"/>
      <c r="H1515" s="53"/>
    </row>
    <row r="1516" spans="3:8" x14ac:dyDescent="0.15">
      <c r="C1516" s="53"/>
      <c r="D1516" s="50"/>
      <c r="E1516" s="51"/>
      <c r="F1516" s="52"/>
      <c r="G1516" s="53"/>
      <c r="H1516" s="53"/>
    </row>
    <row r="1517" spans="3:8" x14ac:dyDescent="0.15">
      <c r="C1517" s="53"/>
      <c r="D1517" s="50"/>
      <c r="E1517" s="51"/>
      <c r="F1517" s="52"/>
      <c r="G1517" s="53"/>
      <c r="H1517" s="53"/>
    </row>
    <row r="1518" spans="3:8" x14ac:dyDescent="0.15">
      <c r="C1518" s="53"/>
      <c r="D1518" s="50"/>
      <c r="E1518" s="51"/>
      <c r="F1518" s="52"/>
      <c r="G1518" s="53"/>
      <c r="H1518" s="53"/>
    </row>
    <row r="1519" spans="3:8" x14ac:dyDescent="0.15">
      <c r="C1519" s="53"/>
      <c r="D1519" s="50"/>
      <c r="E1519" s="51"/>
      <c r="F1519" s="52"/>
      <c r="G1519" s="53"/>
      <c r="H1519" s="53"/>
    </row>
    <row r="1520" spans="3:8" x14ac:dyDescent="0.15">
      <c r="C1520" s="53"/>
      <c r="D1520" s="50"/>
      <c r="E1520" s="51"/>
      <c r="F1520" s="52"/>
      <c r="G1520" s="53"/>
      <c r="H1520" s="53"/>
    </row>
    <row r="1521" spans="3:8" x14ac:dyDescent="0.15">
      <c r="C1521" s="53"/>
      <c r="D1521" s="50"/>
      <c r="E1521" s="51"/>
      <c r="F1521" s="52"/>
      <c r="G1521" s="53"/>
      <c r="H1521" s="53"/>
    </row>
    <row r="1522" spans="3:8" x14ac:dyDescent="0.15">
      <c r="C1522" s="53"/>
      <c r="D1522" s="50"/>
      <c r="E1522" s="51"/>
      <c r="F1522" s="52"/>
      <c r="G1522" s="53"/>
      <c r="H1522" s="53"/>
    </row>
    <row r="1523" spans="3:8" x14ac:dyDescent="0.15">
      <c r="C1523" s="53"/>
      <c r="D1523" s="50"/>
      <c r="E1523" s="51"/>
      <c r="F1523" s="52"/>
      <c r="G1523" s="53"/>
      <c r="H1523" s="53"/>
    </row>
    <row r="1524" spans="3:8" x14ac:dyDescent="0.15">
      <c r="C1524" s="53"/>
      <c r="D1524" s="50"/>
      <c r="E1524" s="51"/>
      <c r="F1524" s="52"/>
      <c r="G1524" s="53"/>
      <c r="H1524" s="53"/>
    </row>
    <row r="1525" spans="3:8" x14ac:dyDescent="0.15">
      <c r="C1525" s="53"/>
      <c r="D1525" s="50"/>
      <c r="E1525" s="51"/>
      <c r="F1525" s="52"/>
      <c r="G1525" s="53"/>
      <c r="H1525" s="53"/>
    </row>
    <row r="1526" spans="3:8" x14ac:dyDescent="0.15">
      <c r="C1526" s="53"/>
      <c r="D1526" s="50"/>
      <c r="E1526" s="51"/>
      <c r="F1526" s="52"/>
      <c r="G1526" s="53"/>
      <c r="H1526" s="53"/>
    </row>
    <row r="1527" spans="3:8" x14ac:dyDescent="0.15">
      <c r="C1527" s="53"/>
      <c r="D1527" s="50"/>
      <c r="E1527" s="51"/>
      <c r="F1527" s="52"/>
      <c r="G1527" s="53"/>
      <c r="H1527" s="53"/>
    </row>
    <row r="1528" spans="3:8" x14ac:dyDescent="0.15">
      <c r="C1528" s="53"/>
      <c r="D1528" s="50"/>
      <c r="E1528" s="51"/>
      <c r="F1528" s="52"/>
      <c r="G1528" s="53"/>
      <c r="H1528" s="53"/>
    </row>
    <row r="1529" spans="3:8" x14ac:dyDescent="0.15">
      <c r="C1529" s="53"/>
      <c r="D1529" s="50"/>
      <c r="E1529" s="51"/>
      <c r="F1529" s="52"/>
      <c r="G1529" s="53"/>
      <c r="H1529" s="53"/>
    </row>
    <row r="1530" spans="3:8" x14ac:dyDescent="0.15">
      <c r="C1530" s="53"/>
      <c r="D1530" s="50"/>
      <c r="E1530" s="51"/>
      <c r="F1530" s="52"/>
      <c r="G1530" s="53"/>
      <c r="H1530" s="53"/>
    </row>
    <row r="1531" spans="3:8" x14ac:dyDescent="0.15">
      <c r="C1531" s="53"/>
      <c r="D1531" s="50"/>
      <c r="E1531" s="51"/>
      <c r="F1531" s="52"/>
      <c r="G1531" s="53"/>
      <c r="H1531" s="53"/>
    </row>
    <row r="1532" spans="3:8" x14ac:dyDescent="0.15">
      <c r="C1532" s="53"/>
      <c r="D1532" s="50"/>
      <c r="E1532" s="51"/>
      <c r="F1532" s="52"/>
      <c r="G1532" s="53"/>
      <c r="H1532" s="53"/>
    </row>
    <row r="1533" spans="3:8" x14ac:dyDescent="0.15">
      <c r="C1533" s="53"/>
      <c r="D1533" s="50"/>
      <c r="E1533" s="51"/>
      <c r="F1533" s="52"/>
      <c r="G1533" s="53"/>
      <c r="H1533" s="53"/>
    </row>
    <row r="1534" spans="3:8" x14ac:dyDescent="0.15">
      <c r="C1534" s="53"/>
      <c r="D1534" s="50"/>
      <c r="E1534" s="51"/>
      <c r="F1534" s="52"/>
      <c r="G1534" s="53"/>
      <c r="H1534" s="53"/>
    </row>
    <row r="1535" spans="3:8" x14ac:dyDescent="0.15">
      <c r="C1535" s="53"/>
      <c r="D1535" s="50"/>
      <c r="E1535" s="51"/>
      <c r="F1535" s="52"/>
      <c r="G1535" s="53"/>
      <c r="H1535" s="53"/>
    </row>
    <row r="1536" spans="3:8" x14ac:dyDescent="0.15">
      <c r="C1536" s="53"/>
      <c r="D1536" s="50"/>
      <c r="E1536" s="51"/>
      <c r="F1536" s="52"/>
      <c r="G1536" s="53"/>
      <c r="H1536" s="53"/>
    </row>
    <row r="1537" spans="3:8" x14ac:dyDescent="0.15">
      <c r="C1537" s="53"/>
      <c r="D1537" s="50"/>
      <c r="E1537" s="51"/>
      <c r="F1537" s="52"/>
      <c r="G1537" s="53"/>
      <c r="H1537" s="53"/>
    </row>
    <row r="1538" spans="3:8" x14ac:dyDescent="0.15">
      <c r="C1538" s="53"/>
      <c r="D1538" s="50"/>
      <c r="E1538" s="51"/>
      <c r="F1538" s="52"/>
      <c r="G1538" s="53"/>
      <c r="H1538" s="53"/>
    </row>
    <row r="1539" spans="3:8" x14ac:dyDescent="0.15">
      <c r="C1539" s="53"/>
      <c r="D1539" s="50"/>
      <c r="E1539" s="51"/>
      <c r="F1539" s="52"/>
      <c r="G1539" s="53"/>
      <c r="H1539" s="53"/>
    </row>
    <row r="1540" spans="3:8" x14ac:dyDescent="0.15">
      <c r="C1540" s="53"/>
      <c r="D1540" s="50"/>
      <c r="E1540" s="51"/>
      <c r="F1540" s="52"/>
      <c r="G1540" s="53"/>
      <c r="H1540" s="53"/>
    </row>
    <row r="1541" spans="3:8" x14ac:dyDescent="0.15">
      <c r="C1541" s="53"/>
      <c r="D1541" s="50"/>
      <c r="E1541" s="51"/>
      <c r="F1541" s="52"/>
      <c r="G1541" s="53"/>
      <c r="H1541" s="53"/>
    </row>
    <row r="1542" spans="3:8" x14ac:dyDescent="0.15">
      <c r="C1542" s="53"/>
      <c r="D1542" s="50"/>
      <c r="E1542" s="51"/>
      <c r="F1542" s="52"/>
      <c r="G1542" s="53"/>
      <c r="H1542" s="53"/>
    </row>
    <row r="1543" spans="3:8" x14ac:dyDescent="0.15">
      <c r="C1543" s="53"/>
      <c r="D1543" s="50"/>
      <c r="E1543" s="51"/>
      <c r="F1543" s="52"/>
      <c r="G1543" s="53"/>
      <c r="H1543" s="53"/>
    </row>
    <row r="1544" spans="3:8" x14ac:dyDescent="0.15">
      <c r="C1544" s="53"/>
      <c r="D1544" s="50"/>
      <c r="E1544" s="51"/>
      <c r="F1544" s="52"/>
      <c r="G1544" s="53"/>
      <c r="H1544" s="53"/>
    </row>
    <row r="1545" spans="3:8" x14ac:dyDescent="0.15">
      <c r="C1545" s="53"/>
      <c r="D1545" s="50"/>
      <c r="E1545" s="51"/>
      <c r="F1545" s="52"/>
      <c r="G1545" s="53"/>
      <c r="H1545" s="53"/>
    </row>
    <row r="1546" spans="3:8" x14ac:dyDescent="0.15">
      <c r="C1546" s="53"/>
      <c r="D1546" s="50"/>
      <c r="E1546" s="51"/>
      <c r="F1546" s="52"/>
      <c r="G1546" s="53"/>
      <c r="H1546" s="53"/>
    </row>
    <row r="1547" spans="3:8" x14ac:dyDescent="0.15">
      <c r="C1547" s="53"/>
      <c r="D1547" s="50"/>
      <c r="E1547" s="51"/>
      <c r="F1547" s="52"/>
      <c r="G1547" s="53"/>
      <c r="H1547" s="53"/>
    </row>
    <row r="1548" spans="3:8" x14ac:dyDescent="0.15">
      <c r="C1548" s="53"/>
      <c r="D1548" s="50"/>
      <c r="E1548" s="51"/>
      <c r="F1548" s="52"/>
      <c r="G1548" s="53"/>
      <c r="H1548" s="53"/>
    </row>
    <row r="1549" spans="3:8" x14ac:dyDescent="0.15">
      <c r="C1549" s="53"/>
      <c r="D1549" s="50"/>
      <c r="E1549" s="51"/>
      <c r="F1549" s="52"/>
      <c r="G1549" s="53"/>
      <c r="H1549" s="53"/>
    </row>
    <row r="1550" spans="3:8" x14ac:dyDescent="0.15">
      <c r="C1550" s="53"/>
      <c r="D1550" s="50"/>
      <c r="E1550" s="51"/>
      <c r="F1550" s="52"/>
      <c r="G1550" s="53"/>
      <c r="H1550" s="53"/>
    </row>
    <row r="1551" spans="3:8" x14ac:dyDescent="0.15">
      <c r="C1551" s="53"/>
      <c r="D1551" s="50"/>
      <c r="E1551" s="51"/>
      <c r="F1551" s="52"/>
      <c r="G1551" s="53"/>
      <c r="H1551" s="53"/>
    </row>
    <row r="1552" spans="3:8" x14ac:dyDescent="0.15">
      <c r="C1552" s="53"/>
      <c r="D1552" s="50"/>
      <c r="E1552" s="51"/>
      <c r="F1552" s="52"/>
      <c r="G1552" s="53"/>
      <c r="H1552" s="53"/>
    </row>
    <row r="1553" spans="3:8" x14ac:dyDescent="0.15">
      <c r="C1553" s="53"/>
      <c r="D1553" s="50"/>
      <c r="E1553" s="51"/>
      <c r="F1553" s="52"/>
      <c r="G1553" s="53"/>
      <c r="H1553" s="53"/>
    </row>
    <row r="1554" spans="3:8" x14ac:dyDescent="0.15">
      <c r="C1554" s="53"/>
      <c r="D1554" s="50"/>
      <c r="E1554" s="51"/>
      <c r="F1554" s="52"/>
      <c r="G1554" s="53"/>
      <c r="H1554" s="53"/>
    </row>
    <row r="1555" spans="3:8" x14ac:dyDescent="0.15">
      <c r="C1555" s="53"/>
      <c r="D1555" s="50"/>
      <c r="E1555" s="51"/>
      <c r="F1555" s="52"/>
      <c r="G1555" s="53"/>
      <c r="H1555" s="53"/>
    </row>
    <row r="1556" spans="3:8" x14ac:dyDescent="0.15">
      <c r="C1556" s="53"/>
      <c r="D1556" s="50"/>
      <c r="E1556" s="51"/>
      <c r="F1556" s="52"/>
      <c r="G1556" s="53"/>
      <c r="H1556" s="53"/>
    </row>
    <row r="1557" spans="3:8" x14ac:dyDescent="0.15">
      <c r="C1557" s="53"/>
      <c r="D1557" s="50"/>
      <c r="E1557" s="51"/>
      <c r="F1557" s="52"/>
      <c r="G1557" s="53"/>
      <c r="H1557" s="53"/>
    </row>
    <row r="1558" spans="3:8" x14ac:dyDescent="0.15">
      <c r="C1558" s="53"/>
      <c r="D1558" s="50"/>
      <c r="E1558" s="51"/>
      <c r="F1558" s="52"/>
      <c r="G1558" s="53"/>
      <c r="H1558" s="53"/>
    </row>
    <row r="1559" spans="3:8" x14ac:dyDescent="0.15">
      <c r="C1559" s="53"/>
      <c r="D1559" s="50"/>
      <c r="E1559" s="51"/>
      <c r="F1559" s="52"/>
      <c r="G1559" s="53"/>
      <c r="H1559" s="53"/>
    </row>
    <row r="1560" spans="3:8" x14ac:dyDescent="0.15">
      <c r="C1560" s="53"/>
      <c r="D1560" s="50"/>
      <c r="E1560" s="51"/>
      <c r="F1560" s="52"/>
      <c r="G1560" s="53"/>
      <c r="H1560" s="53"/>
    </row>
    <row r="1561" spans="3:8" x14ac:dyDescent="0.15">
      <c r="C1561" s="53"/>
      <c r="D1561" s="50"/>
      <c r="E1561" s="51"/>
      <c r="F1561" s="52"/>
      <c r="G1561" s="53"/>
      <c r="H1561" s="53"/>
    </row>
    <row r="1562" spans="3:8" x14ac:dyDescent="0.15">
      <c r="C1562" s="53"/>
      <c r="D1562" s="50"/>
      <c r="E1562" s="51"/>
      <c r="F1562" s="52"/>
      <c r="G1562" s="53"/>
      <c r="H1562" s="53"/>
    </row>
    <row r="1563" spans="3:8" x14ac:dyDescent="0.15">
      <c r="C1563" s="53"/>
      <c r="D1563" s="50"/>
      <c r="E1563" s="51"/>
      <c r="F1563" s="52"/>
      <c r="G1563" s="53"/>
      <c r="H1563" s="53"/>
    </row>
    <row r="1564" spans="3:8" x14ac:dyDescent="0.15">
      <c r="C1564" s="53"/>
      <c r="D1564" s="50"/>
      <c r="E1564" s="51"/>
      <c r="F1564" s="52"/>
      <c r="G1564" s="53"/>
      <c r="H1564" s="53"/>
    </row>
    <row r="1565" spans="3:8" x14ac:dyDescent="0.15">
      <c r="C1565" s="53"/>
      <c r="D1565" s="50"/>
      <c r="E1565" s="51"/>
      <c r="F1565" s="52"/>
      <c r="G1565" s="53"/>
      <c r="H1565" s="53"/>
    </row>
    <row r="1566" spans="3:8" x14ac:dyDescent="0.15">
      <c r="C1566" s="53"/>
      <c r="D1566" s="50"/>
      <c r="E1566" s="51"/>
      <c r="F1566" s="52"/>
      <c r="G1566" s="53"/>
      <c r="H1566" s="53"/>
    </row>
    <row r="1567" spans="3:8" x14ac:dyDescent="0.15">
      <c r="C1567" s="53"/>
      <c r="D1567" s="50"/>
      <c r="E1567" s="51"/>
      <c r="F1567" s="52"/>
      <c r="G1567" s="53"/>
      <c r="H1567" s="53"/>
    </row>
    <row r="1568" spans="3:8" x14ac:dyDescent="0.15">
      <c r="C1568" s="53"/>
      <c r="D1568" s="50"/>
      <c r="E1568" s="51"/>
      <c r="F1568" s="52"/>
      <c r="G1568" s="53"/>
      <c r="H1568" s="53"/>
    </row>
    <row r="1569" spans="3:8" x14ac:dyDescent="0.15">
      <c r="C1569" s="53"/>
      <c r="D1569" s="50"/>
      <c r="E1569" s="51"/>
      <c r="F1569" s="52"/>
      <c r="G1569" s="53"/>
      <c r="H1569" s="53"/>
    </row>
    <row r="1570" spans="3:8" x14ac:dyDescent="0.15">
      <c r="C1570" s="53"/>
      <c r="D1570" s="50"/>
      <c r="E1570" s="51"/>
      <c r="F1570" s="52"/>
      <c r="G1570" s="53"/>
      <c r="H1570" s="53"/>
    </row>
    <row r="1571" spans="3:8" x14ac:dyDescent="0.15">
      <c r="C1571" s="53"/>
      <c r="D1571" s="50"/>
      <c r="E1571" s="51"/>
      <c r="F1571" s="52"/>
      <c r="G1571" s="53"/>
      <c r="H1571" s="53"/>
    </row>
    <row r="1572" spans="3:8" x14ac:dyDescent="0.15">
      <c r="C1572" s="53"/>
      <c r="D1572" s="50"/>
      <c r="E1572" s="51"/>
      <c r="F1572" s="52"/>
      <c r="G1572" s="53"/>
      <c r="H1572" s="53"/>
    </row>
    <row r="1573" spans="3:8" x14ac:dyDescent="0.15">
      <c r="C1573" s="53"/>
      <c r="D1573" s="50"/>
      <c r="E1573" s="51"/>
      <c r="F1573" s="52"/>
      <c r="G1573" s="53"/>
      <c r="H1573" s="53"/>
    </row>
    <row r="1574" spans="3:8" x14ac:dyDescent="0.15">
      <c r="C1574" s="53"/>
      <c r="D1574" s="50"/>
      <c r="E1574" s="51"/>
      <c r="F1574" s="52"/>
      <c r="G1574" s="53"/>
      <c r="H1574" s="53"/>
    </row>
    <row r="1575" spans="3:8" x14ac:dyDescent="0.15">
      <c r="C1575" s="53"/>
      <c r="D1575" s="50"/>
      <c r="E1575" s="51"/>
      <c r="F1575" s="52"/>
      <c r="G1575" s="53"/>
      <c r="H1575" s="53"/>
    </row>
    <row r="1576" spans="3:8" x14ac:dyDescent="0.15">
      <c r="C1576" s="53"/>
      <c r="D1576" s="50"/>
      <c r="E1576" s="51"/>
      <c r="F1576" s="52"/>
      <c r="G1576" s="53"/>
      <c r="H1576" s="53"/>
    </row>
    <row r="1577" spans="3:8" x14ac:dyDescent="0.15">
      <c r="C1577" s="53"/>
      <c r="D1577" s="50"/>
      <c r="E1577" s="51"/>
      <c r="F1577" s="52"/>
      <c r="G1577" s="53"/>
      <c r="H1577" s="53"/>
    </row>
    <row r="1578" spans="3:8" x14ac:dyDescent="0.15">
      <c r="C1578" s="53"/>
      <c r="D1578" s="50"/>
      <c r="E1578" s="51"/>
      <c r="F1578" s="52"/>
      <c r="G1578" s="53"/>
      <c r="H1578" s="53"/>
    </row>
    <row r="1579" spans="3:8" x14ac:dyDescent="0.15">
      <c r="C1579" s="53"/>
      <c r="D1579" s="50"/>
      <c r="E1579" s="51"/>
      <c r="F1579" s="52"/>
      <c r="G1579" s="53"/>
      <c r="H1579" s="53"/>
    </row>
    <row r="1580" spans="3:8" x14ac:dyDescent="0.15">
      <c r="C1580" s="53"/>
      <c r="D1580" s="50"/>
      <c r="E1580" s="51"/>
      <c r="F1580" s="52"/>
      <c r="G1580" s="53"/>
      <c r="H1580" s="53"/>
    </row>
    <row r="1581" spans="3:8" x14ac:dyDescent="0.15">
      <c r="C1581" s="53"/>
      <c r="D1581" s="50"/>
      <c r="E1581" s="51"/>
      <c r="F1581" s="52"/>
      <c r="G1581" s="53"/>
      <c r="H1581" s="53"/>
    </row>
    <row r="1582" spans="3:8" x14ac:dyDescent="0.15">
      <c r="C1582" s="53"/>
      <c r="D1582" s="50"/>
      <c r="E1582" s="51"/>
      <c r="F1582" s="52"/>
      <c r="G1582" s="53"/>
      <c r="H1582" s="53"/>
    </row>
    <row r="1583" spans="3:8" x14ac:dyDescent="0.15">
      <c r="C1583" s="53"/>
      <c r="D1583" s="50"/>
      <c r="E1583" s="51"/>
      <c r="F1583" s="52"/>
      <c r="G1583" s="53"/>
      <c r="H1583" s="53"/>
    </row>
    <row r="1584" spans="3:8" x14ac:dyDescent="0.15">
      <c r="C1584" s="53"/>
      <c r="D1584" s="50"/>
      <c r="E1584" s="51"/>
      <c r="F1584" s="52"/>
      <c r="G1584" s="53"/>
      <c r="H1584" s="53"/>
    </row>
    <row r="1585" spans="3:8" x14ac:dyDescent="0.15">
      <c r="C1585" s="53"/>
      <c r="D1585" s="50"/>
      <c r="E1585" s="51"/>
      <c r="F1585" s="52"/>
      <c r="G1585" s="53"/>
      <c r="H1585" s="53"/>
    </row>
    <row r="1586" spans="3:8" x14ac:dyDescent="0.15">
      <c r="C1586" s="53"/>
      <c r="D1586" s="50"/>
      <c r="E1586" s="51"/>
      <c r="F1586" s="52"/>
      <c r="G1586" s="53"/>
      <c r="H1586" s="53"/>
    </row>
    <row r="1587" spans="3:8" x14ac:dyDescent="0.15">
      <c r="C1587" s="53"/>
      <c r="D1587" s="50"/>
      <c r="E1587" s="51"/>
      <c r="F1587" s="52"/>
      <c r="G1587" s="53"/>
      <c r="H1587" s="53"/>
    </row>
    <row r="1588" spans="3:8" x14ac:dyDescent="0.15">
      <c r="C1588" s="53"/>
      <c r="D1588" s="50"/>
      <c r="E1588" s="51"/>
      <c r="F1588" s="52"/>
      <c r="G1588" s="53"/>
      <c r="H1588" s="53"/>
    </row>
    <row r="1589" spans="3:8" x14ac:dyDescent="0.15">
      <c r="C1589" s="53"/>
      <c r="D1589" s="50"/>
      <c r="E1589" s="51"/>
      <c r="F1589" s="52"/>
      <c r="G1589" s="53"/>
      <c r="H1589" s="53"/>
    </row>
    <row r="1590" spans="3:8" x14ac:dyDescent="0.15">
      <c r="C1590" s="53"/>
      <c r="D1590" s="50"/>
      <c r="E1590" s="51"/>
      <c r="F1590" s="52"/>
      <c r="G1590" s="53"/>
      <c r="H1590" s="53"/>
    </row>
    <row r="1591" spans="3:8" x14ac:dyDescent="0.15">
      <c r="C1591" s="53"/>
      <c r="D1591" s="50"/>
      <c r="E1591" s="51"/>
      <c r="F1591" s="52"/>
      <c r="G1591" s="53"/>
      <c r="H1591" s="53"/>
    </row>
    <row r="1592" spans="3:8" x14ac:dyDescent="0.15">
      <c r="C1592" s="53"/>
      <c r="D1592" s="50"/>
      <c r="E1592" s="51"/>
      <c r="F1592" s="52"/>
      <c r="G1592" s="53"/>
      <c r="H1592" s="53"/>
    </row>
    <row r="1593" spans="3:8" x14ac:dyDescent="0.15">
      <c r="C1593" s="53"/>
      <c r="D1593" s="50"/>
      <c r="E1593" s="51"/>
      <c r="F1593" s="52"/>
      <c r="G1593" s="53"/>
      <c r="H1593" s="53"/>
    </row>
    <row r="1594" spans="3:8" x14ac:dyDescent="0.15">
      <c r="C1594" s="53"/>
      <c r="D1594" s="50"/>
      <c r="E1594" s="51"/>
      <c r="F1594" s="52"/>
      <c r="G1594" s="53"/>
      <c r="H1594" s="53"/>
    </row>
    <row r="1595" spans="3:8" x14ac:dyDescent="0.15">
      <c r="C1595" s="53"/>
      <c r="D1595" s="50"/>
      <c r="E1595" s="51"/>
      <c r="F1595" s="52"/>
      <c r="G1595" s="53"/>
      <c r="H1595" s="53"/>
    </row>
    <row r="1596" spans="3:8" x14ac:dyDescent="0.15">
      <c r="C1596" s="53"/>
      <c r="D1596" s="50"/>
      <c r="E1596" s="51"/>
      <c r="F1596" s="52"/>
      <c r="G1596" s="53"/>
      <c r="H1596" s="53"/>
    </row>
    <row r="1597" spans="3:8" x14ac:dyDescent="0.15">
      <c r="C1597" s="53"/>
      <c r="D1597" s="50"/>
      <c r="E1597" s="51"/>
      <c r="F1597" s="52"/>
      <c r="G1597" s="53"/>
      <c r="H1597" s="53"/>
    </row>
    <row r="1598" spans="3:8" x14ac:dyDescent="0.15">
      <c r="C1598" s="53"/>
      <c r="D1598" s="50"/>
      <c r="E1598" s="51"/>
      <c r="F1598" s="52"/>
      <c r="G1598" s="53"/>
      <c r="H1598" s="53"/>
    </row>
    <row r="1599" spans="3:8" x14ac:dyDescent="0.15">
      <c r="C1599" s="53"/>
      <c r="D1599" s="50"/>
      <c r="E1599" s="51"/>
      <c r="F1599" s="52"/>
      <c r="G1599" s="53"/>
      <c r="H1599" s="53"/>
    </row>
    <row r="1600" spans="3:8" x14ac:dyDescent="0.15">
      <c r="C1600" s="53"/>
      <c r="D1600" s="50"/>
      <c r="E1600" s="51"/>
      <c r="F1600" s="52"/>
      <c r="G1600" s="53"/>
      <c r="H1600" s="53"/>
    </row>
    <row r="1601" spans="3:8" x14ac:dyDescent="0.15">
      <c r="C1601" s="53"/>
      <c r="D1601" s="50"/>
      <c r="E1601" s="51"/>
      <c r="F1601" s="52"/>
      <c r="G1601" s="53"/>
      <c r="H1601" s="53"/>
    </row>
    <row r="1602" spans="3:8" x14ac:dyDescent="0.15">
      <c r="C1602" s="53"/>
      <c r="D1602" s="50"/>
      <c r="E1602" s="51"/>
      <c r="F1602" s="52"/>
      <c r="G1602" s="53"/>
      <c r="H1602" s="53"/>
    </row>
    <row r="1603" spans="3:8" x14ac:dyDescent="0.15">
      <c r="C1603" s="53"/>
      <c r="D1603" s="50"/>
      <c r="E1603" s="51"/>
      <c r="F1603" s="52"/>
      <c r="G1603" s="53"/>
      <c r="H1603" s="53"/>
    </row>
    <row r="1604" spans="3:8" x14ac:dyDescent="0.15">
      <c r="C1604" s="53"/>
      <c r="D1604" s="50"/>
      <c r="E1604" s="51"/>
      <c r="F1604" s="52"/>
      <c r="G1604" s="53"/>
      <c r="H1604" s="53"/>
    </row>
    <row r="1605" spans="3:8" x14ac:dyDescent="0.15">
      <c r="C1605" s="53"/>
      <c r="D1605" s="50"/>
      <c r="E1605" s="51"/>
      <c r="F1605" s="52"/>
      <c r="G1605" s="53"/>
      <c r="H1605" s="53"/>
    </row>
    <row r="1606" spans="3:8" x14ac:dyDescent="0.15">
      <c r="C1606" s="53"/>
      <c r="D1606" s="50"/>
      <c r="E1606" s="51"/>
      <c r="F1606" s="52"/>
      <c r="G1606" s="53"/>
      <c r="H1606" s="53"/>
    </row>
    <row r="1607" spans="3:8" x14ac:dyDescent="0.15">
      <c r="C1607" s="53"/>
      <c r="D1607" s="50"/>
      <c r="E1607" s="51"/>
      <c r="F1607" s="52"/>
      <c r="G1607" s="53"/>
      <c r="H1607" s="53"/>
    </row>
    <row r="1608" spans="3:8" x14ac:dyDescent="0.15">
      <c r="C1608" s="53"/>
      <c r="D1608" s="50"/>
      <c r="E1608" s="51"/>
      <c r="F1608" s="52"/>
      <c r="G1608" s="53"/>
      <c r="H1608" s="53"/>
    </row>
    <row r="1609" spans="3:8" x14ac:dyDescent="0.15">
      <c r="C1609" s="53"/>
      <c r="D1609" s="50"/>
      <c r="E1609" s="51"/>
      <c r="F1609" s="52"/>
      <c r="G1609" s="53"/>
      <c r="H1609" s="53"/>
    </row>
    <row r="1610" spans="3:8" x14ac:dyDescent="0.15">
      <c r="C1610" s="53"/>
      <c r="D1610" s="50"/>
      <c r="E1610" s="51"/>
      <c r="F1610" s="52"/>
      <c r="G1610" s="53"/>
      <c r="H1610" s="53"/>
    </row>
    <row r="1611" spans="3:8" x14ac:dyDescent="0.15">
      <c r="C1611" s="53"/>
      <c r="D1611" s="50"/>
      <c r="E1611" s="51"/>
      <c r="F1611" s="52"/>
      <c r="G1611" s="53"/>
      <c r="H1611" s="53"/>
    </row>
    <row r="1612" spans="3:8" x14ac:dyDescent="0.15">
      <c r="C1612" s="53"/>
      <c r="D1612" s="50"/>
      <c r="E1612" s="51"/>
      <c r="F1612" s="52"/>
      <c r="G1612" s="53"/>
      <c r="H1612" s="53"/>
    </row>
    <row r="1613" spans="3:8" x14ac:dyDescent="0.15">
      <c r="C1613" s="53"/>
      <c r="D1613" s="50"/>
      <c r="E1613" s="51"/>
      <c r="F1613" s="52"/>
      <c r="G1613" s="53"/>
      <c r="H1613" s="53"/>
    </row>
    <row r="1614" spans="3:8" x14ac:dyDescent="0.15">
      <c r="C1614" s="53"/>
      <c r="D1614" s="50"/>
      <c r="E1614" s="51"/>
      <c r="F1614" s="52"/>
      <c r="G1614" s="53"/>
      <c r="H1614" s="53"/>
    </row>
    <row r="1615" spans="3:8" x14ac:dyDescent="0.15">
      <c r="C1615" s="53"/>
      <c r="D1615" s="50"/>
      <c r="E1615" s="51"/>
      <c r="F1615" s="52"/>
      <c r="G1615" s="53"/>
      <c r="H1615" s="53"/>
    </row>
    <row r="1616" spans="3:8" x14ac:dyDescent="0.15">
      <c r="C1616" s="53"/>
      <c r="D1616" s="50"/>
      <c r="E1616" s="51"/>
      <c r="F1616" s="52"/>
      <c r="G1616" s="53"/>
      <c r="H1616" s="53"/>
    </row>
    <row r="1617" spans="3:8" x14ac:dyDescent="0.15">
      <c r="C1617" s="53"/>
      <c r="D1617" s="50"/>
      <c r="E1617" s="51"/>
      <c r="F1617" s="52"/>
      <c r="G1617" s="53"/>
      <c r="H1617" s="53"/>
    </row>
    <row r="1618" spans="3:8" x14ac:dyDescent="0.15">
      <c r="C1618" s="53"/>
      <c r="D1618" s="50"/>
      <c r="E1618" s="51"/>
      <c r="F1618" s="52"/>
      <c r="G1618" s="53"/>
      <c r="H1618" s="53"/>
    </row>
    <row r="1619" spans="3:8" x14ac:dyDescent="0.15">
      <c r="C1619" s="53"/>
      <c r="D1619" s="50"/>
      <c r="E1619" s="51"/>
      <c r="F1619" s="52"/>
      <c r="G1619" s="53"/>
      <c r="H1619" s="53"/>
    </row>
    <row r="1620" spans="3:8" x14ac:dyDescent="0.15">
      <c r="C1620" s="53"/>
      <c r="D1620" s="50"/>
      <c r="E1620" s="51"/>
      <c r="F1620" s="52"/>
      <c r="G1620" s="53"/>
      <c r="H1620" s="53"/>
    </row>
    <row r="1621" spans="3:8" x14ac:dyDescent="0.15">
      <c r="C1621" s="53"/>
      <c r="D1621" s="50"/>
      <c r="E1621" s="51"/>
      <c r="F1621" s="52"/>
      <c r="G1621" s="53"/>
      <c r="H1621" s="53"/>
    </row>
    <row r="1622" spans="3:8" x14ac:dyDescent="0.15">
      <c r="C1622" s="53"/>
      <c r="D1622" s="50"/>
      <c r="E1622" s="51"/>
      <c r="F1622" s="52"/>
      <c r="G1622" s="53"/>
      <c r="H1622" s="53"/>
    </row>
    <row r="1623" spans="3:8" x14ac:dyDescent="0.15">
      <c r="C1623" s="53"/>
      <c r="D1623" s="50"/>
      <c r="E1623" s="51"/>
      <c r="F1623" s="52"/>
      <c r="G1623" s="53"/>
      <c r="H1623" s="53"/>
    </row>
    <row r="1624" spans="3:8" x14ac:dyDescent="0.15">
      <c r="C1624" s="53"/>
      <c r="D1624" s="50"/>
      <c r="E1624" s="51"/>
      <c r="F1624" s="52"/>
      <c r="G1624" s="53"/>
      <c r="H1624" s="53"/>
    </row>
    <row r="1625" spans="3:8" x14ac:dyDescent="0.15">
      <c r="C1625" s="53"/>
      <c r="D1625" s="50"/>
      <c r="E1625" s="51"/>
      <c r="F1625" s="52"/>
      <c r="G1625" s="53"/>
      <c r="H1625" s="53"/>
    </row>
    <row r="1626" spans="3:8" x14ac:dyDescent="0.15">
      <c r="C1626" s="53"/>
      <c r="D1626" s="50"/>
      <c r="E1626" s="51"/>
      <c r="F1626" s="52"/>
      <c r="G1626" s="53"/>
      <c r="H1626" s="53"/>
    </row>
    <row r="1627" spans="3:8" x14ac:dyDescent="0.15">
      <c r="C1627" s="53"/>
      <c r="D1627" s="50"/>
      <c r="E1627" s="51"/>
      <c r="F1627" s="52"/>
      <c r="G1627" s="53"/>
      <c r="H1627" s="53"/>
    </row>
    <row r="1628" spans="3:8" x14ac:dyDescent="0.15">
      <c r="C1628" s="53"/>
      <c r="D1628" s="50"/>
      <c r="E1628" s="51"/>
      <c r="F1628" s="52"/>
      <c r="G1628" s="53"/>
      <c r="H1628" s="53"/>
    </row>
    <row r="1629" spans="3:8" x14ac:dyDescent="0.15">
      <c r="C1629" s="53"/>
      <c r="D1629" s="50"/>
      <c r="E1629" s="51"/>
      <c r="F1629" s="52"/>
      <c r="G1629" s="53"/>
      <c r="H1629" s="53"/>
    </row>
    <row r="1630" spans="3:8" x14ac:dyDescent="0.15">
      <c r="C1630" s="53"/>
      <c r="D1630" s="50"/>
      <c r="E1630" s="51"/>
      <c r="F1630" s="52"/>
      <c r="G1630" s="53"/>
      <c r="H1630" s="53"/>
    </row>
    <row r="1631" spans="3:8" x14ac:dyDescent="0.15">
      <c r="C1631" s="53"/>
      <c r="D1631" s="50"/>
      <c r="E1631" s="51"/>
      <c r="F1631" s="52"/>
      <c r="G1631" s="53"/>
      <c r="H1631" s="53"/>
    </row>
    <row r="1632" spans="3:8" x14ac:dyDescent="0.15">
      <c r="C1632" s="53"/>
      <c r="D1632" s="50"/>
      <c r="E1632" s="51"/>
      <c r="F1632" s="52"/>
      <c r="G1632" s="53"/>
      <c r="H1632" s="53"/>
    </row>
    <row r="1633" spans="3:8" x14ac:dyDescent="0.15">
      <c r="C1633" s="53"/>
      <c r="D1633" s="50"/>
      <c r="E1633" s="51"/>
      <c r="F1633" s="52"/>
      <c r="G1633" s="53"/>
      <c r="H1633" s="53"/>
    </row>
    <row r="1634" spans="3:8" x14ac:dyDescent="0.15">
      <c r="C1634" s="53"/>
      <c r="D1634" s="50"/>
      <c r="E1634" s="51"/>
      <c r="F1634" s="52"/>
      <c r="G1634" s="53"/>
      <c r="H1634" s="53"/>
    </row>
    <row r="1635" spans="3:8" x14ac:dyDescent="0.15">
      <c r="C1635" s="53"/>
      <c r="D1635" s="50"/>
      <c r="E1635" s="51"/>
      <c r="F1635" s="52"/>
      <c r="G1635" s="53"/>
      <c r="H1635" s="53"/>
    </row>
    <row r="1636" spans="3:8" x14ac:dyDescent="0.15">
      <c r="C1636" s="53"/>
      <c r="D1636" s="50"/>
      <c r="E1636" s="51"/>
      <c r="F1636" s="52"/>
      <c r="G1636" s="53"/>
      <c r="H1636" s="53"/>
    </row>
    <row r="1637" spans="3:8" x14ac:dyDescent="0.15">
      <c r="C1637" s="53"/>
      <c r="D1637" s="50"/>
      <c r="E1637" s="51"/>
      <c r="F1637" s="52"/>
      <c r="G1637" s="53"/>
      <c r="H1637" s="53"/>
    </row>
    <row r="1638" spans="3:8" x14ac:dyDescent="0.15">
      <c r="C1638" s="53"/>
      <c r="D1638" s="50"/>
      <c r="E1638" s="51"/>
      <c r="F1638" s="52"/>
      <c r="G1638" s="53"/>
      <c r="H1638" s="53"/>
    </row>
    <row r="1639" spans="3:8" x14ac:dyDescent="0.15">
      <c r="C1639" s="53"/>
      <c r="D1639" s="50"/>
      <c r="E1639" s="51"/>
      <c r="F1639" s="52"/>
      <c r="G1639" s="53"/>
      <c r="H1639" s="53"/>
    </row>
    <row r="1640" spans="3:8" x14ac:dyDescent="0.15">
      <c r="C1640" s="53"/>
      <c r="D1640" s="50"/>
      <c r="E1640" s="51"/>
      <c r="F1640" s="52"/>
      <c r="G1640" s="53"/>
      <c r="H1640" s="53"/>
    </row>
    <row r="1641" spans="3:8" x14ac:dyDescent="0.15">
      <c r="C1641" s="53"/>
      <c r="D1641" s="50"/>
      <c r="E1641" s="51"/>
      <c r="F1641" s="52"/>
      <c r="G1641" s="53"/>
      <c r="H1641" s="53"/>
    </row>
    <row r="1642" spans="3:8" x14ac:dyDescent="0.15">
      <c r="C1642" s="53"/>
      <c r="D1642" s="50"/>
      <c r="E1642" s="51"/>
      <c r="F1642" s="52"/>
      <c r="G1642" s="53"/>
      <c r="H1642" s="53"/>
    </row>
    <row r="1643" spans="3:8" x14ac:dyDescent="0.15">
      <c r="C1643" s="53"/>
      <c r="D1643" s="50"/>
      <c r="E1643" s="51"/>
      <c r="F1643" s="52"/>
      <c r="G1643" s="53"/>
      <c r="H1643" s="53"/>
    </row>
    <row r="1644" spans="3:8" x14ac:dyDescent="0.15">
      <c r="C1644" s="53"/>
      <c r="D1644" s="50"/>
      <c r="E1644" s="51"/>
      <c r="F1644" s="52"/>
      <c r="G1644" s="53"/>
      <c r="H1644" s="53"/>
    </row>
    <row r="1645" spans="3:8" x14ac:dyDescent="0.15">
      <c r="C1645" s="53"/>
      <c r="D1645" s="50"/>
      <c r="E1645" s="51"/>
      <c r="F1645" s="52"/>
      <c r="G1645" s="53"/>
      <c r="H1645" s="53"/>
    </row>
    <row r="1646" spans="3:8" x14ac:dyDescent="0.15">
      <c r="C1646" s="53"/>
      <c r="D1646" s="50"/>
      <c r="E1646" s="51"/>
      <c r="F1646" s="52"/>
      <c r="G1646" s="53"/>
      <c r="H1646" s="53"/>
    </row>
    <row r="1647" spans="3:8" x14ac:dyDescent="0.15">
      <c r="C1647" s="53"/>
      <c r="D1647" s="50"/>
      <c r="E1647" s="51"/>
      <c r="F1647" s="52"/>
      <c r="G1647" s="53"/>
      <c r="H1647" s="53"/>
    </row>
    <row r="1648" spans="3:8" x14ac:dyDescent="0.15">
      <c r="C1648" s="53"/>
      <c r="D1648" s="50"/>
      <c r="E1648" s="51"/>
      <c r="F1648" s="52"/>
      <c r="G1648" s="53"/>
      <c r="H1648" s="53"/>
    </row>
    <row r="1649" spans="3:8" x14ac:dyDescent="0.15">
      <c r="C1649" s="53"/>
      <c r="D1649" s="50"/>
      <c r="E1649" s="51"/>
      <c r="F1649" s="52"/>
      <c r="G1649" s="53"/>
      <c r="H1649" s="53"/>
    </row>
    <row r="1650" spans="3:8" x14ac:dyDescent="0.15">
      <c r="C1650" s="53"/>
      <c r="D1650" s="50"/>
      <c r="E1650" s="51"/>
      <c r="F1650" s="52"/>
      <c r="G1650" s="53"/>
      <c r="H1650" s="53"/>
    </row>
    <row r="1651" spans="3:8" x14ac:dyDescent="0.15">
      <c r="C1651" s="53"/>
      <c r="D1651" s="50"/>
      <c r="E1651" s="51"/>
      <c r="F1651" s="52"/>
      <c r="G1651" s="53"/>
      <c r="H1651" s="53"/>
    </row>
    <row r="1652" spans="3:8" x14ac:dyDescent="0.15">
      <c r="C1652" s="53"/>
      <c r="D1652" s="50"/>
      <c r="E1652" s="51"/>
      <c r="F1652" s="52"/>
      <c r="G1652" s="53"/>
      <c r="H1652" s="53"/>
    </row>
    <row r="1653" spans="3:8" x14ac:dyDescent="0.15">
      <c r="C1653" s="53"/>
      <c r="D1653" s="50"/>
      <c r="E1653" s="51"/>
      <c r="F1653" s="52"/>
      <c r="G1653" s="53"/>
      <c r="H1653" s="53"/>
    </row>
    <row r="1654" spans="3:8" x14ac:dyDescent="0.15">
      <c r="C1654" s="53"/>
      <c r="D1654" s="50"/>
      <c r="E1654" s="51"/>
      <c r="F1654" s="52"/>
      <c r="G1654" s="53"/>
      <c r="H1654" s="53"/>
    </row>
    <row r="1655" spans="3:8" x14ac:dyDescent="0.15">
      <c r="C1655" s="53"/>
      <c r="D1655" s="50"/>
      <c r="E1655" s="51"/>
      <c r="F1655" s="52"/>
      <c r="G1655" s="53"/>
      <c r="H1655" s="53"/>
    </row>
    <row r="1656" spans="3:8" x14ac:dyDescent="0.15">
      <c r="C1656" s="53"/>
      <c r="D1656" s="50"/>
      <c r="E1656" s="51"/>
      <c r="F1656" s="52"/>
      <c r="G1656" s="53"/>
      <c r="H1656" s="53"/>
    </row>
    <row r="1657" spans="3:8" x14ac:dyDescent="0.15">
      <c r="C1657" s="53"/>
      <c r="D1657" s="50"/>
      <c r="E1657" s="51"/>
      <c r="F1657" s="52"/>
      <c r="G1657" s="53"/>
      <c r="H1657" s="53"/>
    </row>
    <row r="1658" spans="3:8" x14ac:dyDescent="0.15">
      <c r="C1658" s="53"/>
      <c r="D1658" s="50"/>
      <c r="E1658" s="51"/>
      <c r="F1658" s="52"/>
      <c r="G1658" s="53"/>
      <c r="H1658" s="53"/>
    </row>
    <row r="1659" spans="3:8" x14ac:dyDescent="0.15">
      <c r="C1659" s="53"/>
      <c r="D1659" s="50"/>
      <c r="E1659" s="51"/>
      <c r="F1659" s="52"/>
      <c r="G1659" s="53"/>
      <c r="H1659" s="53"/>
    </row>
    <row r="1660" spans="3:8" x14ac:dyDescent="0.15">
      <c r="C1660" s="53"/>
      <c r="D1660" s="50"/>
      <c r="E1660" s="51"/>
      <c r="F1660" s="52"/>
      <c r="G1660" s="53"/>
      <c r="H1660" s="53"/>
    </row>
    <row r="1661" spans="3:8" x14ac:dyDescent="0.15">
      <c r="C1661" s="53"/>
      <c r="D1661" s="50"/>
      <c r="E1661" s="51"/>
      <c r="F1661" s="52"/>
      <c r="G1661" s="53"/>
      <c r="H1661" s="53"/>
    </row>
    <row r="1662" spans="3:8" x14ac:dyDescent="0.15">
      <c r="C1662" s="53"/>
      <c r="D1662" s="50"/>
      <c r="E1662" s="51"/>
      <c r="F1662" s="52"/>
      <c r="G1662" s="53"/>
      <c r="H1662" s="53"/>
    </row>
    <row r="1663" spans="3:8" x14ac:dyDescent="0.15">
      <c r="C1663" s="53"/>
      <c r="D1663" s="50"/>
      <c r="E1663" s="51"/>
      <c r="F1663" s="52"/>
      <c r="G1663" s="53"/>
      <c r="H1663" s="53"/>
    </row>
    <row r="1664" spans="3:8" x14ac:dyDescent="0.15">
      <c r="C1664" s="53"/>
      <c r="D1664" s="50"/>
      <c r="E1664" s="51"/>
      <c r="F1664" s="52"/>
      <c r="G1664" s="53"/>
      <c r="H1664" s="53"/>
    </row>
    <row r="1665" spans="3:8" x14ac:dyDescent="0.15">
      <c r="C1665" s="53"/>
      <c r="D1665" s="50"/>
      <c r="E1665" s="51"/>
      <c r="F1665" s="52"/>
      <c r="G1665" s="53"/>
      <c r="H1665" s="53"/>
    </row>
    <row r="1666" spans="3:8" x14ac:dyDescent="0.15">
      <c r="C1666" s="53"/>
      <c r="D1666" s="50"/>
      <c r="E1666" s="51"/>
      <c r="F1666" s="52"/>
      <c r="G1666" s="53"/>
      <c r="H1666" s="53"/>
    </row>
    <row r="1667" spans="3:8" x14ac:dyDescent="0.15">
      <c r="C1667" s="53"/>
      <c r="D1667" s="50"/>
      <c r="E1667" s="51"/>
      <c r="F1667" s="52"/>
      <c r="G1667" s="53"/>
      <c r="H1667" s="53"/>
    </row>
    <row r="1668" spans="3:8" x14ac:dyDescent="0.15">
      <c r="C1668" s="53"/>
      <c r="D1668" s="50"/>
      <c r="E1668" s="51"/>
      <c r="F1668" s="52"/>
      <c r="G1668" s="53"/>
      <c r="H1668" s="53"/>
    </row>
    <row r="1669" spans="3:8" x14ac:dyDescent="0.15">
      <c r="C1669" s="53"/>
      <c r="D1669" s="50"/>
      <c r="E1669" s="51"/>
      <c r="F1669" s="52"/>
      <c r="G1669" s="53"/>
      <c r="H1669" s="53"/>
    </row>
    <row r="1670" spans="3:8" x14ac:dyDescent="0.15">
      <c r="C1670" s="53"/>
      <c r="D1670" s="50"/>
      <c r="E1670" s="51"/>
      <c r="F1670" s="52"/>
      <c r="G1670" s="53"/>
      <c r="H1670" s="53"/>
    </row>
    <row r="1671" spans="3:8" x14ac:dyDescent="0.15">
      <c r="C1671" s="53"/>
      <c r="D1671" s="50"/>
      <c r="E1671" s="51"/>
      <c r="F1671" s="52"/>
      <c r="G1671" s="53"/>
      <c r="H1671" s="53"/>
    </row>
    <row r="1672" spans="3:8" x14ac:dyDescent="0.15">
      <c r="C1672" s="53"/>
      <c r="D1672" s="50"/>
      <c r="E1672" s="51"/>
      <c r="F1672" s="52"/>
      <c r="G1672" s="53"/>
      <c r="H1672" s="53"/>
    </row>
    <row r="1673" spans="3:8" x14ac:dyDescent="0.15">
      <c r="C1673" s="53"/>
      <c r="D1673" s="50"/>
      <c r="E1673" s="51"/>
      <c r="F1673" s="52"/>
      <c r="G1673" s="53"/>
      <c r="H1673" s="53"/>
    </row>
    <row r="1674" spans="3:8" x14ac:dyDescent="0.15">
      <c r="C1674" s="53"/>
      <c r="D1674" s="50"/>
      <c r="E1674" s="51"/>
      <c r="F1674" s="52"/>
      <c r="G1674" s="53"/>
      <c r="H1674" s="53"/>
    </row>
    <row r="1675" spans="3:8" x14ac:dyDescent="0.15">
      <c r="C1675" s="53"/>
      <c r="D1675" s="50"/>
      <c r="E1675" s="51"/>
      <c r="F1675" s="52"/>
      <c r="G1675" s="53"/>
      <c r="H1675" s="53"/>
    </row>
    <row r="1676" spans="3:8" x14ac:dyDescent="0.15">
      <c r="C1676" s="53"/>
      <c r="D1676" s="50"/>
      <c r="E1676" s="51"/>
      <c r="F1676" s="52"/>
      <c r="G1676" s="53"/>
      <c r="H1676" s="53"/>
    </row>
    <row r="1677" spans="3:8" x14ac:dyDescent="0.15">
      <c r="C1677" s="53"/>
      <c r="D1677" s="50"/>
      <c r="E1677" s="51"/>
      <c r="F1677" s="52"/>
      <c r="G1677" s="53"/>
      <c r="H1677" s="53"/>
    </row>
    <row r="1678" spans="3:8" x14ac:dyDescent="0.15">
      <c r="C1678" s="53"/>
      <c r="D1678" s="50"/>
      <c r="E1678" s="51"/>
      <c r="F1678" s="52"/>
      <c r="G1678" s="53"/>
      <c r="H1678" s="53"/>
    </row>
    <row r="1679" spans="3:8" x14ac:dyDescent="0.15">
      <c r="C1679" s="53"/>
      <c r="D1679" s="50"/>
      <c r="E1679" s="51"/>
      <c r="F1679" s="52"/>
      <c r="G1679" s="53"/>
      <c r="H1679" s="53"/>
    </row>
    <row r="1680" spans="3:8" x14ac:dyDescent="0.15">
      <c r="C1680" s="53"/>
      <c r="D1680" s="50"/>
      <c r="E1680" s="51"/>
      <c r="F1680" s="52"/>
      <c r="G1680" s="53"/>
      <c r="H1680" s="53"/>
    </row>
    <row r="1681" spans="3:8" x14ac:dyDescent="0.15">
      <c r="C1681" s="53"/>
      <c r="D1681" s="50"/>
      <c r="E1681" s="51"/>
      <c r="F1681" s="52"/>
      <c r="G1681" s="53"/>
      <c r="H1681" s="53"/>
    </row>
    <row r="1682" spans="3:8" x14ac:dyDescent="0.15">
      <c r="C1682" s="53"/>
      <c r="D1682" s="50"/>
      <c r="E1682" s="51"/>
      <c r="F1682" s="52"/>
      <c r="G1682" s="53"/>
      <c r="H1682" s="53"/>
    </row>
    <row r="1683" spans="3:8" x14ac:dyDescent="0.15">
      <c r="C1683" s="53"/>
      <c r="D1683" s="50"/>
      <c r="E1683" s="51"/>
      <c r="F1683" s="52"/>
      <c r="G1683" s="53"/>
      <c r="H1683" s="53"/>
    </row>
    <row r="1684" spans="3:8" x14ac:dyDescent="0.15">
      <c r="C1684" s="53"/>
      <c r="D1684" s="50"/>
      <c r="E1684" s="51"/>
      <c r="F1684" s="52"/>
      <c r="G1684" s="53"/>
      <c r="H1684" s="53"/>
    </row>
    <row r="1685" spans="3:8" x14ac:dyDescent="0.15">
      <c r="C1685" s="53"/>
      <c r="D1685" s="50"/>
      <c r="E1685" s="51"/>
      <c r="F1685" s="52"/>
      <c r="G1685" s="53"/>
      <c r="H1685" s="53"/>
    </row>
    <row r="1686" spans="3:8" x14ac:dyDescent="0.15">
      <c r="C1686" s="53"/>
      <c r="D1686" s="50"/>
      <c r="E1686" s="51"/>
      <c r="F1686" s="52"/>
      <c r="G1686" s="53"/>
      <c r="H1686" s="53"/>
    </row>
    <row r="1687" spans="3:8" x14ac:dyDescent="0.15">
      <c r="C1687" s="53"/>
      <c r="D1687" s="50"/>
      <c r="E1687" s="51"/>
      <c r="F1687" s="52"/>
      <c r="G1687" s="53"/>
      <c r="H1687" s="53"/>
    </row>
    <row r="1688" spans="3:8" x14ac:dyDescent="0.15">
      <c r="C1688" s="53"/>
      <c r="D1688" s="50"/>
      <c r="E1688" s="51"/>
      <c r="F1688" s="52"/>
      <c r="G1688" s="53"/>
      <c r="H1688" s="53"/>
    </row>
    <row r="1689" spans="3:8" x14ac:dyDescent="0.15">
      <c r="C1689" s="53"/>
      <c r="D1689" s="50"/>
      <c r="E1689" s="51"/>
      <c r="F1689" s="52"/>
      <c r="G1689" s="53"/>
      <c r="H1689" s="53"/>
    </row>
    <row r="1690" spans="3:8" x14ac:dyDescent="0.15">
      <c r="C1690" s="53"/>
      <c r="D1690" s="50"/>
      <c r="E1690" s="51"/>
      <c r="F1690" s="52"/>
      <c r="G1690" s="53"/>
      <c r="H1690" s="53"/>
    </row>
    <row r="1691" spans="3:8" x14ac:dyDescent="0.15">
      <c r="C1691" s="53"/>
      <c r="D1691" s="50"/>
      <c r="E1691" s="51"/>
      <c r="F1691" s="52"/>
      <c r="G1691" s="53"/>
      <c r="H1691" s="53"/>
    </row>
    <row r="1692" spans="3:8" x14ac:dyDescent="0.15">
      <c r="C1692" s="53"/>
      <c r="D1692" s="50"/>
      <c r="E1692" s="51"/>
      <c r="F1692" s="52"/>
      <c r="G1692" s="53"/>
      <c r="H1692" s="53"/>
    </row>
    <row r="1693" spans="3:8" x14ac:dyDescent="0.15">
      <c r="C1693" s="53"/>
      <c r="D1693" s="50"/>
      <c r="E1693" s="51"/>
      <c r="F1693" s="52"/>
      <c r="G1693" s="53"/>
      <c r="H1693" s="53"/>
    </row>
    <row r="1694" spans="3:8" x14ac:dyDescent="0.15">
      <c r="C1694" s="53"/>
      <c r="D1694" s="50"/>
      <c r="E1694" s="51"/>
      <c r="F1694" s="52"/>
      <c r="G1694" s="53"/>
      <c r="H1694" s="53"/>
    </row>
    <row r="1695" spans="3:8" x14ac:dyDescent="0.15">
      <c r="C1695" s="53"/>
      <c r="D1695" s="50"/>
      <c r="E1695" s="51"/>
      <c r="F1695" s="52"/>
      <c r="G1695" s="53"/>
      <c r="H1695" s="53"/>
    </row>
    <row r="1696" spans="3:8" x14ac:dyDescent="0.15">
      <c r="C1696" s="53"/>
      <c r="D1696" s="50"/>
      <c r="E1696" s="51"/>
      <c r="F1696" s="52"/>
      <c r="G1696" s="53"/>
      <c r="H1696" s="53"/>
    </row>
    <row r="1697" spans="3:8" x14ac:dyDescent="0.15">
      <c r="C1697" s="53"/>
      <c r="D1697" s="50"/>
      <c r="E1697" s="51"/>
      <c r="F1697" s="52"/>
      <c r="G1697" s="53"/>
      <c r="H1697" s="53"/>
    </row>
    <row r="1698" spans="3:8" x14ac:dyDescent="0.15">
      <c r="C1698" s="53"/>
      <c r="D1698" s="50"/>
      <c r="E1698" s="51"/>
      <c r="F1698" s="52"/>
      <c r="G1698" s="53"/>
      <c r="H1698" s="53"/>
    </row>
    <row r="1699" spans="3:8" x14ac:dyDescent="0.15">
      <c r="C1699" s="53"/>
      <c r="D1699" s="50"/>
      <c r="E1699" s="51"/>
      <c r="F1699" s="52"/>
      <c r="G1699" s="53"/>
      <c r="H1699" s="53"/>
    </row>
    <row r="1700" spans="3:8" x14ac:dyDescent="0.15">
      <c r="C1700" s="53"/>
      <c r="D1700" s="50"/>
      <c r="E1700" s="51"/>
      <c r="F1700" s="52"/>
      <c r="G1700" s="53"/>
      <c r="H1700" s="53"/>
    </row>
    <row r="1701" spans="3:8" x14ac:dyDescent="0.15">
      <c r="C1701" s="53"/>
      <c r="D1701" s="50"/>
      <c r="E1701" s="51"/>
      <c r="F1701" s="52"/>
      <c r="G1701" s="53"/>
      <c r="H1701" s="53"/>
    </row>
    <row r="1702" spans="3:8" x14ac:dyDescent="0.15">
      <c r="C1702" s="53"/>
      <c r="D1702" s="50"/>
      <c r="E1702" s="51"/>
      <c r="F1702" s="52"/>
      <c r="G1702" s="53"/>
      <c r="H1702" s="53"/>
    </row>
    <row r="1703" spans="3:8" x14ac:dyDescent="0.15">
      <c r="C1703" s="53"/>
      <c r="D1703" s="50"/>
      <c r="E1703" s="51"/>
      <c r="F1703" s="52"/>
      <c r="G1703" s="53"/>
      <c r="H1703" s="53"/>
    </row>
    <row r="1704" spans="3:8" x14ac:dyDescent="0.15">
      <c r="C1704" s="53"/>
      <c r="D1704" s="50"/>
      <c r="E1704" s="51"/>
      <c r="F1704" s="52"/>
      <c r="G1704" s="53"/>
      <c r="H1704" s="53"/>
    </row>
    <row r="1705" spans="3:8" x14ac:dyDescent="0.15">
      <c r="C1705" s="53"/>
      <c r="D1705" s="50"/>
      <c r="E1705" s="51"/>
      <c r="F1705" s="52"/>
      <c r="G1705" s="53"/>
      <c r="H1705" s="53"/>
    </row>
    <row r="1706" spans="3:8" x14ac:dyDescent="0.15">
      <c r="C1706" s="53"/>
      <c r="D1706" s="50"/>
      <c r="E1706" s="51"/>
      <c r="F1706" s="52"/>
      <c r="G1706" s="53"/>
      <c r="H1706" s="53"/>
    </row>
    <row r="1707" spans="3:8" x14ac:dyDescent="0.15">
      <c r="C1707" s="53"/>
      <c r="D1707" s="50"/>
      <c r="E1707" s="51"/>
      <c r="F1707" s="52"/>
      <c r="G1707" s="53"/>
      <c r="H1707" s="53"/>
    </row>
    <row r="1708" spans="3:8" x14ac:dyDescent="0.15">
      <c r="C1708" s="53"/>
      <c r="D1708" s="50"/>
      <c r="E1708" s="51"/>
      <c r="F1708" s="52"/>
      <c r="G1708" s="53"/>
      <c r="H1708" s="53"/>
    </row>
    <row r="1709" spans="3:8" x14ac:dyDescent="0.15">
      <c r="C1709" s="53"/>
      <c r="D1709" s="50"/>
      <c r="E1709" s="51"/>
      <c r="F1709" s="52"/>
      <c r="G1709" s="53"/>
      <c r="H1709" s="53"/>
    </row>
    <row r="1710" spans="3:8" x14ac:dyDescent="0.15">
      <c r="C1710" s="53"/>
      <c r="D1710" s="50"/>
      <c r="E1710" s="51"/>
      <c r="F1710" s="52"/>
      <c r="G1710" s="53"/>
      <c r="H1710" s="53"/>
    </row>
    <row r="1711" spans="3:8" x14ac:dyDescent="0.15">
      <c r="C1711" s="53"/>
      <c r="D1711" s="50"/>
      <c r="E1711" s="51"/>
      <c r="F1711" s="52"/>
      <c r="G1711" s="53"/>
      <c r="H1711" s="53"/>
    </row>
    <row r="1712" spans="3:8" x14ac:dyDescent="0.15">
      <c r="C1712" s="53"/>
      <c r="D1712" s="50"/>
      <c r="E1712" s="51"/>
      <c r="F1712" s="52"/>
      <c r="G1712" s="53"/>
      <c r="H1712" s="53"/>
    </row>
    <row r="1713" spans="3:8" x14ac:dyDescent="0.15">
      <c r="C1713" s="53"/>
      <c r="D1713" s="50"/>
      <c r="E1713" s="51"/>
      <c r="F1713" s="52"/>
      <c r="G1713" s="53"/>
      <c r="H1713" s="53"/>
    </row>
    <row r="1714" spans="3:8" x14ac:dyDescent="0.15">
      <c r="C1714" s="53"/>
      <c r="D1714" s="50"/>
      <c r="E1714" s="51"/>
      <c r="F1714" s="52"/>
      <c r="G1714" s="53"/>
      <c r="H1714" s="53"/>
    </row>
    <row r="1715" spans="3:8" x14ac:dyDescent="0.15">
      <c r="C1715" s="53"/>
      <c r="D1715" s="50"/>
      <c r="E1715" s="51"/>
      <c r="F1715" s="52"/>
      <c r="G1715" s="53"/>
      <c r="H1715" s="53"/>
    </row>
    <row r="1716" spans="3:8" x14ac:dyDescent="0.15">
      <c r="C1716" s="53"/>
      <c r="D1716" s="50"/>
      <c r="E1716" s="51"/>
      <c r="F1716" s="52"/>
      <c r="G1716" s="53"/>
      <c r="H1716" s="53"/>
    </row>
    <row r="1717" spans="3:8" x14ac:dyDescent="0.15">
      <c r="C1717" s="53"/>
      <c r="D1717" s="50"/>
      <c r="E1717" s="51"/>
      <c r="F1717" s="52"/>
      <c r="G1717" s="53"/>
      <c r="H1717" s="53"/>
    </row>
    <row r="1718" spans="3:8" x14ac:dyDescent="0.15">
      <c r="C1718" s="53"/>
      <c r="D1718" s="50"/>
      <c r="E1718" s="51"/>
      <c r="F1718" s="52"/>
      <c r="G1718" s="53"/>
      <c r="H1718" s="53"/>
    </row>
    <row r="1719" spans="3:8" x14ac:dyDescent="0.15">
      <c r="C1719" s="53"/>
      <c r="D1719" s="50"/>
      <c r="E1719" s="51"/>
      <c r="F1719" s="52"/>
      <c r="G1719" s="53"/>
      <c r="H1719" s="53"/>
    </row>
    <row r="1720" spans="3:8" x14ac:dyDescent="0.15">
      <c r="C1720" s="53"/>
      <c r="D1720" s="50"/>
      <c r="E1720" s="51"/>
      <c r="F1720" s="52"/>
      <c r="G1720" s="53"/>
      <c r="H1720" s="53"/>
    </row>
    <row r="1721" spans="3:8" x14ac:dyDescent="0.15">
      <c r="C1721" s="53"/>
      <c r="D1721" s="50"/>
      <c r="E1721" s="51"/>
      <c r="F1721" s="52"/>
      <c r="G1721" s="53"/>
      <c r="H1721" s="53"/>
    </row>
    <row r="1722" spans="3:8" x14ac:dyDescent="0.15">
      <c r="C1722" s="53"/>
      <c r="D1722" s="50"/>
      <c r="E1722" s="51"/>
      <c r="F1722" s="52"/>
      <c r="G1722" s="53"/>
      <c r="H1722" s="53"/>
    </row>
    <row r="1723" spans="3:8" x14ac:dyDescent="0.15">
      <c r="C1723" s="53"/>
      <c r="D1723" s="50"/>
      <c r="E1723" s="51"/>
      <c r="F1723" s="52"/>
      <c r="G1723" s="53"/>
      <c r="H1723" s="53"/>
    </row>
    <row r="1724" spans="3:8" x14ac:dyDescent="0.15">
      <c r="C1724" s="53"/>
      <c r="D1724" s="50"/>
      <c r="E1724" s="51"/>
      <c r="F1724" s="52"/>
      <c r="G1724" s="53"/>
      <c r="H1724" s="53"/>
    </row>
    <row r="1725" spans="3:8" x14ac:dyDescent="0.15">
      <c r="C1725" s="53"/>
      <c r="D1725" s="50"/>
      <c r="E1725" s="51"/>
      <c r="F1725" s="52"/>
      <c r="G1725" s="53"/>
      <c r="H1725" s="53"/>
    </row>
    <row r="1726" spans="3:8" x14ac:dyDescent="0.15">
      <c r="C1726" s="53"/>
      <c r="D1726" s="50"/>
      <c r="E1726" s="51"/>
      <c r="F1726" s="52"/>
      <c r="G1726" s="53"/>
      <c r="H1726" s="53"/>
    </row>
    <row r="1727" spans="3:8" x14ac:dyDescent="0.15">
      <c r="C1727" s="53"/>
      <c r="D1727" s="50"/>
      <c r="E1727" s="51"/>
      <c r="F1727" s="52"/>
      <c r="G1727" s="53"/>
      <c r="H1727" s="53"/>
    </row>
    <row r="1728" spans="3:8" x14ac:dyDescent="0.15">
      <c r="C1728" s="53"/>
      <c r="D1728" s="50"/>
      <c r="E1728" s="51"/>
      <c r="F1728" s="52"/>
      <c r="G1728" s="53"/>
      <c r="H1728" s="53"/>
    </row>
    <row r="1729" spans="3:8" x14ac:dyDescent="0.15">
      <c r="C1729" s="53"/>
      <c r="D1729" s="50"/>
      <c r="E1729" s="51"/>
      <c r="F1729" s="52"/>
      <c r="G1729" s="53"/>
      <c r="H1729" s="53"/>
    </row>
    <row r="1730" spans="3:8" x14ac:dyDescent="0.15">
      <c r="C1730" s="53"/>
      <c r="D1730" s="50"/>
      <c r="E1730" s="51"/>
      <c r="F1730" s="52"/>
      <c r="G1730" s="53"/>
      <c r="H1730" s="53"/>
    </row>
    <row r="1731" spans="3:8" x14ac:dyDescent="0.15">
      <c r="C1731" s="53"/>
      <c r="D1731" s="50"/>
      <c r="E1731" s="51"/>
      <c r="F1731" s="52"/>
      <c r="G1731" s="53"/>
      <c r="H1731" s="53"/>
    </row>
    <row r="1732" spans="3:8" x14ac:dyDescent="0.15">
      <c r="C1732" s="53"/>
      <c r="D1732" s="50"/>
      <c r="E1732" s="51"/>
      <c r="F1732" s="52"/>
      <c r="G1732" s="53"/>
      <c r="H1732" s="53"/>
    </row>
    <row r="1733" spans="3:8" x14ac:dyDescent="0.15">
      <c r="C1733" s="53"/>
      <c r="D1733" s="50"/>
      <c r="E1733" s="51"/>
      <c r="F1733" s="52"/>
      <c r="G1733" s="53"/>
      <c r="H1733" s="53"/>
    </row>
    <row r="1734" spans="3:8" x14ac:dyDescent="0.15">
      <c r="C1734" s="53"/>
      <c r="D1734" s="50"/>
      <c r="E1734" s="51"/>
      <c r="F1734" s="52"/>
      <c r="G1734" s="53"/>
      <c r="H1734" s="53"/>
    </row>
    <row r="1735" spans="3:8" x14ac:dyDescent="0.15">
      <c r="C1735" s="53"/>
      <c r="D1735" s="50"/>
      <c r="E1735" s="51"/>
      <c r="F1735" s="52"/>
      <c r="G1735" s="53"/>
      <c r="H1735" s="53"/>
    </row>
    <row r="1736" spans="3:8" x14ac:dyDescent="0.15">
      <c r="C1736" s="53"/>
      <c r="D1736" s="50"/>
      <c r="E1736" s="51"/>
      <c r="F1736" s="52"/>
      <c r="G1736" s="53"/>
      <c r="H1736" s="53"/>
    </row>
    <row r="1737" spans="3:8" x14ac:dyDescent="0.15">
      <c r="C1737" s="53"/>
      <c r="D1737" s="50"/>
      <c r="E1737" s="51"/>
      <c r="F1737" s="52"/>
      <c r="G1737" s="53"/>
      <c r="H1737" s="53"/>
    </row>
    <row r="1738" spans="3:8" x14ac:dyDescent="0.15">
      <c r="C1738" s="53"/>
      <c r="D1738" s="50"/>
      <c r="E1738" s="51"/>
      <c r="F1738" s="52"/>
      <c r="G1738" s="53"/>
      <c r="H1738" s="53"/>
    </row>
    <row r="1739" spans="3:8" x14ac:dyDescent="0.15">
      <c r="C1739" s="53"/>
      <c r="D1739" s="50"/>
      <c r="E1739" s="51"/>
      <c r="F1739" s="52"/>
      <c r="G1739" s="53"/>
      <c r="H1739" s="53"/>
    </row>
    <row r="1740" spans="3:8" x14ac:dyDescent="0.15">
      <c r="C1740" s="53"/>
      <c r="D1740" s="50"/>
      <c r="E1740" s="51"/>
      <c r="F1740" s="52"/>
      <c r="G1740" s="53"/>
      <c r="H1740" s="53"/>
    </row>
    <row r="1741" spans="3:8" x14ac:dyDescent="0.15">
      <c r="C1741" s="53"/>
      <c r="D1741" s="50"/>
      <c r="E1741" s="51"/>
      <c r="F1741" s="52"/>
      <c r="G1741" s="53"/>
      <c r="H1741" s="53"/>
    </row>
    <row r="1742" spans="3:8" x14ac:dyDescent="0.15">
      <c r="C1742" s="53"/>
      <c r="D1742" s="50"/>
      <c r="E1742" s="51"/>
      <c r="F1742" s="52"/>
      <c r="G1742" s="53"/>
      <c r="H1742" s="53"/>
    </row>
    <row r="1743" spans="3:8" x14ac:dyDescent="0.15">
      <c r="C1743" s="53"/>
      <c r="D1743" s="50"/>
      <c r="E1743" s="51"/>
      <c r="F1743" s="52"/>
      <c r="G1743" s="53"/>
      <c r="H1743" s="53"/>
    </row>
    <row r="1744" spans="3:8" x14ac:dyDescent="0.15">
      <c r="C1744" s="53"/>
      <c r="D1744" s="50"/>
      <c r="E1744" s="51"/>
      <c r="F1744" s="52"/>
      <c r="G1744" s="53"/>
      <c r="H1744" s="53"/>
    </row>
    <row r="1745" spans="3:8" x14ac:dyDescent="0.15">
      <c r="C1745" s="53"/>
      <c r="D1745" s="50"/>
      <c r="E1745" s="51"/>
      <c r="F1745" s="52"/>
      <c r="G1745" s="53"/>
      <c r="H1745" s="53"/>
    </row>
    <row r="1746" spans="3:8" x14ac:dyDescent="0.15">
      <c r="C1746" s="53"/>
      <c r="D1746" s="50"/>
      <c r="E1746" s="51"/>
      <c r="F1746" s="52"/>
      <c r="G1746" s="53"/>
      <c r="H1746" s="53"/>
    </row>
    <row r="1747" spans="3:8" x14ac:dyDescent="0.15">
      <c r="C1747" s="53"/>
      <c r="D1747" s="50"/>
      <c r="E1747" s="51"/>
      <c r="F1747" s="52"/>
      <c r="G1747" s="53"/>
      <c r="H1747" s="53"/>
    </row>
    <row r="1748" spans="3:8" x14ac:dyDescent="0.15">
      <c r="C1748" s="53"/>
      <c r="D1748" s="50"/>
      <c r="E1748" s="51"/>
      <c r="F1748" s="52"/>
      <c r="G1748" s="53"/>
      <c r="H1748" s="53"/>
    </row>
    <row r="1749" spans="3:8" x14ac:dyDescent="0.15">
      <c r="C1749" s="53"/>
      <c r="D1749" s="50"/>
      <c r="E1749" s="51"/>
      <c r="F1749" s="52"/>
      <c r="G1749" s="53"/>
      <c r="H1749" s="53"/>
    </row>
    <row r="1750" spans="3:8" x14ac:dyDescent="0.15">
      <c r="C1750" s="53"/>
      <c r="D1750" s="50"/>
      <c r="E1750" s="51"/>
      <c r="F1750" s="52"/>
      <c r="G1750" s="53"/>
      <c r="H1750" s="53"/>
    </row>
    <row r="1751" spans="3:8" x14ac:dyDescent="0.15">
      <c r="C1751" s="53"/>
      <c r="D1751" s="50"/>
      <c r="E1751" s="51"/>
      <c r="F1751" s="52"/>
      <c r="G1751" s="53"/>
      <c r="H1751" s="53"/>
    </row>
    <row r="1752" spans="3:8" x14ac:dyDescent="0.15">
      <c r="C1752" s="53"/>
      <c r="D1752" s="50"/>
      <c r="E1752" s="51"/>
      <c r="F1752" s="52"/>
      <c r="G1752" s="53"/>
      <c r="H1752" s="53"/>
    </row>
    <row r="1753" spans="3:8" x14ac:dyDescent="0.15">
      <c r="C1753" s="53"/>
      <c r="D1753" s="50"/>
      <c r="E1753" s="51"/>
      <c r="F1753" s="52"/>
      <c r="G1753" s="53"/>
      <c r="H1753" s="53"/>
    </row>
    <row r="1754" spans="3:8" x14ac:dyDescent="0.15">
      <c r="C1754" s="53"/>
      <c r="D1754" s="50"/>
      <c r="E1754" s="51"/>
      <c r="F1754" s="52"/>
      <c r="G1754" s="53"/>
      <c r="H1754" s="53"/>
    </row>
    <row r="1755" spans="3:8" x14ac:dyDescent="0.15">
      <c r="C1755" s="53"/>
      <c r="D1755" s="50"/>
      <c r="E1755" s="51"/>
      <c r="F1755" s="52"/>
      <c r="G1755" s="53"/>
      <c r="H1755" s="53"/>
    </row>
    <row r="1756" spans="3:8" x14ac:dyDescent="0.15">
      <c r="C1756" s="53"/>
      <c r="D1756" s="50"/>
      <c r="E1756" s="51"/>
      <c r="F1756" s="52"/>
      <c r="G1756" s="53"/>
      <c r="H1756" s="53"/>
    </row>
    <row r="1757" spans="3:8" x14ac:dyDescent="0.15">
      <c r="C1757" s="53"/>
      <c r="D1757" s="50"/>
      <c r="E1757" s="51"/>
      <c r="F1757" s="52"/>
      <c r="G1757" s="53"/>
      <c r="H1757" s="53"/>
    </row>
    <row r="1758" spans="3:8" x14ac:dyDescent="0.15">
      <c r="C1758" s="53"/>
      <c r="D1758" s="50"/>
      <c r="E1758" s="51"/>
      <c r="F1758" s="52"/>
      <c r="G1758" s="53"/>
      <c r="H1758" s="53"/>
    </row>
    <row r="1759" spans="3:8" x14ac:dyDescent="0.15">
      <c r="C1759" s="53"/>
      <c r="D1759" s="50"/>
      <c r="E1759" s="51"/>
      <c r="F1759" s="52"/>
      <c r="G1759" s="53"/>
      <c r="H1759" s="53"/>
    </row>
    <row r="1760" spans="3:8" x14ac:dyDescent="0.15">
      <c r="C1760" s="53"/>
      <c r="D1760" s="50"/>
      <c r="E1760" s="51"/>
      <c r="F1760" s="52"/>
      <c r="G1760" s="53"/>
      <c r="H1760" s="53"/>
    </row>
    <row r="1761" spans="3:8" x14ac:dyDescent="0.15">
      <c r="C1761" s="53"/>
      <c r="D1761" s="50"/>
      <c r="E1761" s="51"/>
      <c r="F1761" s="52"/>
      <c r="G1761" s="53"/>
      <c r="H1761" s="53"/>
    </row>
    <row r="1762" spans="3:8" x14ac:dyDescent="0.15">
      <c r="C1762" s="53"/>
      <c r="D1762" s="50"/>
      <c r="E1762" s="51"/>
      <c r="F1762" s="52"/>
      <c r="G1762" s="53"/>
      <c r="H1762" s="53"/>
    </row>
    <row r="1763" spans="3:8" x14ac:dyDescent="0.15">
      <c r="C1763" s="53"/>
      <c r="D1763" s="50"/>
      <c r="E1763" s="51"/>
      <c r="F1763" s="52"/>
      <c r="G1763" s="53"/>
      <c r="H1763" s="53"/>
    </row>
    <row r="1764" spans="3:8" x14ac:dyDescent="0.15">
      <c r="C1764" s="53"/>
      <c r="D1764" s="50"/>
      <c r="E1764" s="51"/>
      <c r="F1764" s="52"/>
      <c r="G1764" s="53"/>
      <c r="H1764" s="53"/>
    </row>
    <row r="1765" spans="3:8" x14ac:dyDescent="0.15">
      <c r="C1765" s="53"/>
      <c r="D1765" s="50"/>
      <c r="E1765" s="51"/>
      <c r="F1765" s="52"/>
      <c r="G1765" s="53"/>
      <c r="H1765" s="53"/>
    </row>
    <row r="1766" spans="3:8" x14ac:dyDescent="0.15">
      <c r="C1766" s="53"/>
      <c r="D1766" s="50"/>
      <c r="E1766" s="51"/>
      <c r="F1766" s="52"/>
      <c r="G1766" s="53"/>
      <c r="H1766" s="53"/>
    </row>
    <row r="1767" spans="3:8" x14ac:dyDescent="0.15">
      <c r="C1767" s="53"/>
      <c r="D1767" s="50"/>
      <c r="E1767" s="51"/>
      <c r="F1767" s="52"/>
      <c r="G1767" s="53"/>
      <c r="H1767" s="53"/>
    </row>
    <row r="1768" spans="3:8" x14ac:dyDescent="0.15">
      <c r="C1768" s="53"/>
      <c r="D1768" s="50"/>
      <c r="E1768" s="51"/>
      <c r="F1768" s="52"/>
      <c r="G1768" s="53"/>
      <c r="H1768" s="53"/>
    </row>
    <row r="1769" spans="3:8" x14ac:dyDescent="0.15">
      <c r="C1769" s="53"/>
      <c r="D1769" s="50"/>
      <c r="E1769" s="51"/>
      <c r="F1769" s="52"/>
      <c r="G1769" s="53"/>
      <c r="H1769" s="53"/>
    </row>
    <row r="1770" spans="3:8" x14ac:dyDescent="0.15">
      <c r="C1770" s="53"/>
      <c r="D1770" s="50"/>
      <c r="E1770" s="51"/>
      <c r="F1770" s="52"/>
      <c r="G1770" s="53"/>
      <c r="H1770" s="53"/>
    </row>
    <row r="1771" spans="3:8" x14ac:dyDescent="0.15">
      <c r="C1771" s="53"/>
      <c r="D1771" s="50"/>
      <c r="E1771" s="51"/>
      <c r="F1771" s="52"/>
      <c r="G1771" s="53"/>
      <c r="H1771" s="53"/>
    </row>
    <row r="1772" spans="3:8" x14ac:dyDescent="0.15">
      <c r="C1772" s="53"/>
      <c r="D1772" s="50"/>
      <c r="E1772" s="51"/>
      <c r="F1772" s="52"/>
      <c r="G1772" s="53"/>
      <c r="H1772" s="53"/>
    </row>
    <row r="1773" spans="3:8" x14ac:dyDescent="0.15">
      <c r="C1773" s="53"/>
      <c r="D1773" s="50"/>
      <c r="E1773" s="51"/>
      <c r="F1773" s="52"/>
      <c r="G1773" s="53"/>
      <c r="H1773" s="53"/>
    </row>
    <row r="1774" spans="3:8" x14ac:dyDescent="0.15">
      <c r="C1774" s="53"/>
      <c r="D1774" s="50"/>
      <c r="E1774" s="51"/>
      <c r="F1774" s="52"/>
      <c r="G1774" s="53"/>
      <c r="H1774" s="53"/>
    </row>
    <row r="1775" spans="3:8" x14ac:dyDescent="0.15">
      <c r="C1775" s="53"/>
      <c r="D1775" s="50"/>
      <c r="E1775" s="51"/>
      <c r="F1775" s="52"/>
      <c r="G1775" s="53"/>
      <c r="H1775" s="53"/>
    </row>
    <row r="1776" spans="3:8" x14ac:dyDescent="0.15">
      <c r="C1776" s="53"/>
      <c r="D1776" s="50"/>
      <c r="E1776" s="51"/>
      <c r="F1776" s="52"/>
      <c r="G1776" s="53"/>
      <c r="H1776" s="53"/>
    </row>
    <row r="1777" spans="3:8" x14ac:dyDescent="0.15">
      <c r="C1777" s="53"/>
      <c r="D1777" s="50"/>
      <c r="E1777" s="51"/>
      <c r="F1777" s="52"/>
      <c r="G1777" s="53"/>
      <c r="H1777" s="53"/>
    </row>
    <row r="1778" spans="3:8" x14ac:dyDescent="0.15">
      <c r="C1778" s="53"/>
      <c r="D1778" s="50"/>
      <c r="E1778" s="51"/>
      <c r="F1778" s="52"/>
      <c r="G1778" s="53"/>
      <c r="H1778" s="53"/>
    </row>
    <row r="1779" spans="3:8" x14ac:dyDescent="0.15">
      <c r="C1779" s="53"/>
      <c r="D1779" s="50"/>
      <c r="E1779" s="51"/>
      <c r="F1779" s="52"/>
      <c r="G1779" s="53"/>
      <c r="H1779" s="53"/>
    </row>
    <row r="1780" spans="3:8" x14ac:dyDescent="0.15">
      <c r="C1780" s="53"/>
      <c r="D1780" s="50"/>
      <c r="E1780" s="51"/>
      <c r="F1780" s="52"/>
      <c r="G1780" s="53"/>
      <c r="H1780" s="53"/>
    </row>
    <row r="1781" spans="3:8" x14ac:dyDescent="0.15">
      <c r="C1781" s="53"/>
      <c r="D1781" s="50"/>
      <c r="E1781" s="51"/>
      <c r="F1781" s="52"/>
      <c r="G1781" s="53"/>
      <c r="H1781" s="53"/>
    </row>
    <row r="1782" spans="3:8" x14ac:dyDescent="0.15">
      <c r="C1782" s="53"/>
      <c r="D1782" s="50"/>
      <c r="E1782" s="51"/>
      <c r="F1782" s="52"/>
      <c r="G1782" s="53"/>
      <c r="H1782" s="53"/>
    </row>
    <row r="1783" spans="3:8" x14ac:dyDescent="0.15">
      <c r="C1783" s="53"/>
      <c r="D1783" s="50"/>
      <c r="E1783" s="51"/>
      <c r="F1783" s="52"/>
      <c r="G1783" s="53"/>
      <c r="H1783" s="53"/>
    </row>
    <row r="1784" spans="3:8" x14ac:dyDescent="0.15">
      <c r="C1784" s="53"/>
      <c r="D1784" s="50"/>
      <c r="E1784" s="51"/>
      <c r="F1784" s="52"/>
      <c r="G1784" s="53"/>
      <c r="H1784" s="53"/>
    </row>
    <row r="1785" spans="3:8" x14ac:dyDescent="0.15">
      <c r="C1785" s="53"/>
      <c r="D1785" s="50"/>
      <c r="E1785" s="51"/>
      <c r="F1785" s="52"/>
      <c r="G1785" s="53"/>
      <c r="H1785" s="53"/>
    </row>
    <row r="1786" spans="3:8" x14ac:dyDescent="0.15">
      <c r="C1786" s="53"/>
      <c r="D1786" s="50"/>
      <c r="E1786" s="51"/>
      <c r="F1786" s="52"/>
      <c r="G1786" s="53"/>
      <c r="H1786" s="53"/>
    </row>
    <row r="1787" spans="3:8" x14ac:dyDescent="0.15">
      <c r="C1787" s="53"/>
      <c r="D1787" s="50"/>
      <c r="E1787" s="51"/>
      <c r="F1787" s="52"/>
      <c r="G1787" s="53"/>
      <c r="H1787" s="53"/>
    </row>
    <row r="1788" spans="3:8" x14ac:dyDescent="0.15">
      <c r="C1788" s="53"/>
      <c r="D1788" s="50"/>
      <c r="E1788" s="51"/>
      <c r="F1788" s="52"/>
      <c r="G1788" s="53"/>
      <c r="H1788" s="53"/>
    </row>
    <row r="1789" spans="3:8" x14ac:dyDescent="0.15">
      <c r="C1789" s="53"/>
      <c r="D1789" s="50"/>
      <c r="E1789" s="51"/>
      <c r="F1789" s="52"/>
      <c r="G1789" s="53"/>
      <c r="H1789" s="53"/>
    </row>
    <row r="1790" spans="3:8" x14ac:dyDescent="0.15">
      <c r="C1790" s="53"/>
      <c r="D1790" s="50"/>
      <c r="E1790" s="51"/>
      <c r="F1790" s="52"/>
      <c r="G1790" s="53"/>
      <c r="H1790" s="53"/>
    </row>
    <row r="1791" spans="3:8" x14ac:dyDescent="0.15">
      <c r="C1791" s="53"/>
      <c r="D1791" s="50"/>
      <c r="E1791" s="51"/>
      <c r="F1791" s="52"/>
      <c r="G1791" s="53"/>
      <c r="H1791" s="53"/>
    </row>
    <row r="1792" spans="3:8" x14ac:dyDescent="0.15">
      <c r="C1792" s="53"/>
      <c r="D1792" s="50"/>
      <c r="E1792" s="51"/>
      <c r="F1792" s="52"/>
      <c r="G1792" s="53"/>
      <c r="H1792" s="53"/>
    </row>
    <row r="1793" spans="3:8" x14ac:dyDescent="0.15">
      <c r="C1793" s="53"/>
      <c r="D1793" s="50"/>
      <c r="E1793" s="51"/>
      <c r="F1793" s="52"/>
      <c r="G1793" s="53"/>
      <c r="H1793" s="53"/>
    </row>
    <row r="1794" spans="3:8" x14ac:dyDescent="0.15">
      <c r="C1794" s="53"/>
      <c r="D1794" s="50"/>
      <c r="E1794" s="51"/>
      <c r="F1794" s="52"/>
      <c r="G1794" s="53"/>
      <c r="H1794" s="53"/>
    </row>
    <row r="1795" spans="3:8" x14ac:dyDescent="0.15">
      <c r="C1795" s="53"/>
      <c r="D1795" s="50"/>
      <c r="E1795" s="51"/>
      <c r="F1795" s="52"/>
      <c r="G1795" s="53"/>
      <c r="H1795" s="53"/>
    </row>
    <row r="1796" spans="3:8" x14ac:dyDescent="0.15">
      <c r="C1796" s="53"/>
      <c r="D1796" s="50"/>
      <c r="E1796" s="51"/>
      <c r="F1796" s="52"/>
      <c r="G1796" s="53"/>
      <c r="H1796" s="53"/>
    </row>
    <row r="1797" spans="3:8" x14ac:dyDescent="0.15">
      <c r="C1797" s="53"/>
      <c r="D1797" s="50"/>
      <c r="E1797" s="51"/>
      <c r="F1797" s="52"/>
      <c r="G1797" s="53"/>
      <c r="H1797" s="53"/>
    </row>
    <row r="1798" spans="3:8" x14ac:dyDescent="0.15">
      <c r="C1798" s="53"/>
      <c r="D1798" s="50"/>
      <c r="E1798" s="51"/>
      <c r="F1798" s="52"/>
      <c r="G1798" s="53"/>
      <c r="H1798" s="53"/>
    </row>
    <row r="1799" spans="3:8" x14ac:dyDescent="0.15">
      <c r="C1799" s="53"/>
      <c r="D1799" s="50"/>
      <c r="E1799" s="51"/>
      <c r="F1799" s="52"/>
      <c r="G1799" s="53"/>
      <c r="H1799" s="53"/>
    </row>
    <row r="1800" spans="3:8" x14ac:dyDescent="0.15">
      <c r="C1800" s="53"/>
      <c r="D1800" s="50"/>
      <c r="E1800" s="51"/>
      <c r="F1800" s="52"/>
      <c r="G1800" s="53"/>
      <c r="H1800" s="53"/>
    </row>
    <row r="1801" spans="3:8" x14ac:dyDescent="0.15">
      <c r="C1801" s="53"/>
      <c r="D1801" s="50"/>
      <c r="E1801" s="51"/>
      <c r="F1801" s="52"/>
      <c r="G1801" s="53"/>
      <c r="H1801" s="53"/>
    </row>
    <row r="1802" spans="3:8" x14ac:dyDescent="0.15">
      <c r="C1802" s="53"/>
      <c r="D1802" s="50"/>
      <c r="E1802" s="51"/>
      <c r="F1802" s="52"/>
      <c r="G1802" s="53"/>
      <c r="H1802" s="53"/>
    </row>
    <row r="1803" spans="3:8" x14ac:dyDescent="0.15">
      <c r="C1803" s="53"/>
      <c r="D1803" s="50"/>
      <c r="E1803" s="51"/>
      <c r="F1803" s="52"/>
      <c r="G1803" s="53"/>
      <c r="H1803" s="53"/>
    </row>
    <row r="1804" spans="3:8" x14ac:dyDescent="0.15">
      <c r="C1804" s="53"/>
      <c r="D1804" s="50"/>
      <c r="E1804" s="51"/>
      <c r="F1804" s="52"/>
      <c r="G1804" s="53"/>
      <c r="H1804" s="53"/>
    </row>
    <row r="1805" spans="3:8" x14ac:dyDescent="0.15">
      <c r="C1805" s="53"/>
      <c r="D1805" s="50"/>
      <c r="E1805" s="51"/>
      <c r="F1805" s="52"/>
      <c r="G1805" s="53"/>
      <c r="H1805" s="53"/>
    </row>
    <row r="1806" spans="3:8" x14ac:dyDescent="0.15">
      <c r="C1806" s="53"/>
      <c r="D1806" s="50"/>
      <c r="E1806" s="51"/>
      <c r="F1806" s="52"/>
      <c r="G1806" s="53"/>
      <c r="H1806" s="53"/>
    </row>
    <row r="1807" spans="3:8" x14ac:dyDescent="0.15">
      <c r="C1807" s="53"/>
      <c r="D1807" s="50"/>
      <c r="E1807" s="51"/>
      <c r="F1807" s="52"/>
      <c r="G1807" s="53"/>
      <c r="H1807" s="53"/>
    </row>
    <row r="1808" spans="3:8" x14ac:dyDescent="0.15">
      <c r="C1808" s="53"/>
      <c r="D1808" s="50"/>
      <c r="E1808" s="51"/>
      <c r="F1808" s="52"/>
      <c r="G1808" s="53"/>
      <c r="H1808" s="53"/>
    </row>
    <row r="1809" spans="3:8" x14ac:dyDescent="0.15">
      <c r="C1809" s="53"/>
      <c r="D1809" s="50"/>
      <c r="E1809" s="51"/>
      <c r="F1809" s="52"/>
      <c r="G1809" s="53"/>
      <c r="H1809" s="53"/>
    </row>
    <row r="1810" spans="3:8" x14ac:dyDescent="0.15">
      <c r="C1810" s="53"/>
      <c r="D1810" s="50"/>
      <c r="E1810" s="51"/>
      <c r="F1810" s="52"/>
      <c r="G1810" s="53"/>
      <c r="H1810" s="53"/>
    </row>
    <row r="1811" spans="3:8" x14ac:dyDescent="0.15">
      <c r="C1811" s="53"/>
      <c r="D1811" s="50"/>
      <c r="E1811" s="51"/>
      <c r="F1811" s="52"/>
      <c r="G1811" s="53"/>
      <c r="H1811" s="53"/>
    </row>
    <row r="1812" spans="3:8" x14ac:dyDescent="0.15">
      <c r="C1812" s="53"/>
      <c r="D1812" s="50"/>
      <c r="E1812" s="51"/>
      <c r="F1812" s="52"/>
      <c r="G1812" s="53"/>
      <c r="H1812" s="53"/>
    </row>
    <row r="1813" spans="3:8" x14ac:dyDescent="0.15">
      <c r="C1813" s="53"/>
      <c r="D1813" s="50"/>
      <c r="E1813" s="51"/>
      <c r="F1813" s="52"/>
      <c r="G1813" s="53"/>
      <c r="H1813" s="53"/>
    </row>
    <row r="1814" spans="3:8" x14ac:dyDescent="0.15">
      <c r="C1814" s="53"/>
      <c r="D1814" s="50"/>
      <c r="E1814" s="51"/>
      <c r="F1814" s="52"/>
      <c r="G1814" s="53"/>
      <c r="H1814" s="53"/>
    </row>
    <row r="1815" spans="3:8" x14ac:dyDescent="0.15">
      <c r="C1815" s="53"/>
      <c r="D1815" s="50"/>
      <c r="E1815" s="51"/>
      <c r="F1815" s="52"/>
      <c r="G1815" s="53"/>
      <c r="H1815" s="53"/>
    </row>
    <row r="1816" spans="3:8" x14ac:dyDescent="0.15">
      <c r="C1816" s="53"/>
      <c r="D1816" s="50"/>
      <c r="E1816" s="51"/>
      <c r="F1816" s="52"/>
      <c r="G1816" s="53"/>
      <c r="H1816" s="53"/>
    </row>
    <row r="1817" spans="3:8" x14ac:dyDescent="0.15">
      <c r="C1817" s="53"/>
      <c r="D1817" s="50"/>
      <c r="E1817" s="51"/>
      <c r="F1817" s="52"/>
      <c r="G1817" s="53"/>
      <c r="H1817" s="53"/>
    </row>
    <row r="1818" spans="3:8" x14ac:dyDescent="0.15">
      <c r="C1818" s="53"/>
      <c r="D1818" s="50"/>
      <c r="E1818" s="51"/>
      <c r="F1818" s="52"/>
      <c r="G1818" s="53"/>
      <c r="H1818" s="53"/>
    </row>
    <row r="1819" spans="3:8" x14ac:dyDescent="0.15">
      <c r="C1819" s="53"/>
      <c r="D1819" s="50"/>
      <c r="E1819" s="51"/>
      <c r="F1819" s="52"/>
      <c r="G1819" s="53"/>
      <c r="H1819" s="53"/>
    </row>
    <row r="1820" spans="3:8" x14ac:dyDescent="0.15">
      <c r="C1820" s="53"/>
      <c r="D1820" s="50"/>
      <c r="E1820" s="51"/>
      <c r="F1820" s="52"/>
      <c r="G1820" s="53"/>
      <c r="H1820" s="53"/>
    </row>
    <row r="1821" spans="3:8" x14ac:dyDescent="0.15">
      <c r="C1821" s="53"/>
      <c r="D1821" s="50"/>
      <c r="E1821" s="51"/>
      <c r="F1821" s="52"/>
      <c r="G1821" s="53"/>
      <c r="H1821" s="53"/>
    </row>
    <row r="1822" spans="3:8" x14ac:dyDescent="0.15">
      <c r="C1822" s="53"/>
      <c r="D1822" s="50"/>
      <c r="E1822" s="51"/>
      <c r="F1822" s="52"/>
      <c r="G1822" s="53"/>
      <c r="H1822" s="53"/>
    </row>
    <row r="1823" spans="3:8" x14ac:dyDescent="0.15">
      <c r="C1823" s="53"/>
      <c r="D1823" s="50"/>
      <c r="E1823" s="51"/>
      <c r="F1823" s="52"/>
      <c r="G1823" s="53"/>
      <c r="H1823" s="53"/>
    </row>
    <row r="1824" spans="3:8" x14ac:dyDescent="0.15">
      <c r="C1824" s="53"/>
      <c r="D1824" s="50"/>
      <c r="E1824" s="51"/>
      <c r="F1824" s="52"/>
      <c r="G1824" s="53"/>
      <c r="H1824" s="53"/>
    </row>
    <row r="1825" spans="3:8" x14ac:dyDescent="0.15">
      <c r="C1825" s="53"/>
      <c r="D1825" s="50"/>
      <c r="E1825" s="51"/>
      <c r="F1825" s="52"/>
      <c r="G1825" s="53"/>
      <c r="H1825" s="53"/>
    </row>
    <row r="1826" spans="3:8" x14ac:dyDescent="0.15">
      <c r="C1826" s="53"/>
      <c r="D1826" s="50"/>
      <c r="E1826" s="51"/>
      <c r="F1826" s="52"/>
      <c r="G1826" s="53"/>
      <c r="H1826" s="53"/>
    </row>
    <row r="1827" spans="3:8" x14ac:dyDescent="0.15">
      <c r="C1827" s="53"/>
      <c r="D1827" s="50"/>
      <c r="E1827" s="51"/>
      <c r="F1827" s="52"/>
      <c r="G1827" s="53"/>
      <c r="H1827" s="53"/>
    </row>
    <row r="1828" spans="3:8" x14ac:dyDescent="0.15">
      <c r="C1828" s="53"/>
      <c r="D1828" s="50"/>
      <c r="E1828" s="51"/>
      <c r="F1828" s="52"/>
      <c r="G1828" s="53"/>
      <c r="H1828" s="53"/>
    </row>
    <row r="1829" spans="3:8" x14ac:dyDescent="0.15">
      <c r="C1829" s="53"/>
      <c r="D1829" s="50"/>
      <c r="E1829" s="51"/>
      <c r="F1829" s="52"/>
      <c r="G1829" s="53"/>
      <c r="H1829" s="53"/>
    </row>
    <row r="1830" spans="3:8" x14ac:dyDescent="0.15">
      <c r="C1830" s="53"/>
      <c r="D1830" s="50"/>
      <c r="E1830" s="51"/>
      <c r="F1830" s="52"/>
      <c r="G1830" s="53"/>
      <c r="H1830" s="53"/>
    </row>
    <row r="1831" spans="3:8" x14ac:dyDescent="0.15">
      <c r="C1831" s="53"/>
      <c r="D1831" s="50"/>
      <c r="E1831" s="51"/>
      <c r="F1831" s="52"/>
      <c r="G1831" s="53"/>
      <c r="H1831" s="53"/>
    </row>
    <row r="1832" spans="3:8" x14ac:dyDescent="0.15">
      <c r="C1832" s="53"/>
      <c r="D1832" s="50"/>
      <c r="E1832" s="51"/>
      <c r="F1832" s="52"/>
      <c r="G1832" s="53"/>
      <c r="H1832" s="53"/>
    </row>
    <row r="1833" spans="3:8" x14ac:dyDescent="0.15">
      <c r="C1833" s="53"/>
      <c r="D1833" s="50"/>
      <c r="E1833" s="51"/>
      <c r="F1833" s="52"/>
      <c r="G1833" s="53"/>
      <c r="H1833" s="53"/>
    </row>
    <row r="1834" spans="3:8" x14ac:dyDescent="0.15">
      <c r="C1834" s="53"/>
      <c r="D1834" s="50"/>
      <c r="E1834" s="51"/>
      <c r="F1834" s="52"/>
      <c r="G1834" s="53"/>
      <c r="H1834" s="53"/>
    </row>
    <row r="1835" spans="3:8" x14ac:dyDescent="0.15">
      <c r="C1835" s="53"/>
      <c r="D1835" s="50"/>
      <c r="E1835" s="51"/>
      <c r="F1835" s="52"/>
      <c r="G1835" s="53"/>
      <c r="H1835" s="53"/>
    </row>
    <row r="1836" spans="3:8" x14ac:dyDescent="0.15">
      <c r="C1836" s="53"/>
      <c r="D1836" s="50"/>
      <c r="E1836" s="51"/>
      <c r="F1836" s="52"/>
      <c r="G1836" s="53"/>
      <c r="H1836" s="53"/>
    </row>
    <row r="1837" spans="3:8" x14ac:dyDescent="0.15">
      <c r="C1837" s="53"/>
      <c r="D1837" s="50"/>
      <c r="E1837" s="51"/>
      <c r="F1837" s="52"/>
      <c r="G1837" s="53"/>
      <c r="H1837" s="53"/>
    </row>
    <row r="1838" spans="3:8" x14ac:dyDescent="0.15">
      <c r="C1838" s="53"/>
      <c r="D1838" s="50"/>
      <c r="E1838" s="51"/>
      <c r="F1838" s="52"/>
      <c r="G1838" s="53"/>
      <c r="H1838" s="53"/>
    </row>
    <row r="1839" spans="3:8" x14ac:dyDescent="0.15">
      <c r="C1839" s="53"/>
      <c r="D1839" s="50"/>
      <c r="E1839" s="51"/>
      <c r="F1839" s="52"/>
      <c r="G1839" s="53"/>
      <c r="H1839" s="53"/>
    </row>
    <row r="1840" spans="3:8" x14ac:dyDescent="0.15">
      <c r="C1840" s="53"/>
      <c r="D1840" s="50"/>
      <c r="E1840" s="51"/>
      <c r="F1840" s="52"/>
      <c r="G1840" s="53"/>
      <c r="H1840" s="53"/>
    </row>
    <row r="1841" spans="3:8" x14ac:dyDescent="0.15">
      <c r="C1841" s="53"/>
      <c r="D1841" s="50"/>
      <c r="E1841" s="51"/>
      <c r="F1841" s="52"/>
      <c r="G1841" s="53"/>
      <c r="H1841" s="53"/>
    </row>
    <row r="1842" spans="3:8" x14ac:dyDescent="0.15">
      <c r="C1842" s="53"/>
      <c r="D1842" s="50"/>
      <c r="E1842" s="51"/>
      <c r="F1842" s="52"/>
      <c r="G1842" s="53"/>
      <c r="H1842" s="53"/>
    </row>
    <row r="1843" spans="3:8" x14ac:dyDescent="0.15">
      <c r="C1843" s="53"/>
      <c r="D1843" s="50"/>
      <c r="E1843" s="51"/>
      <c r="F1843" s="52"/>
      <c r="G1843" s="53"/>
      <c r="H1843" s="53"/>
    </row>
    <row r="1844" spans="3:8" x14ac:dyDescent="0.15">
      <c r="C1844" s="53"/>
      <c r="D1844" s="50"/>
      <c r="E1844" s="51"/>
      <c r="F1844" s="52"/>
      <c r="G1844" s="53"/>
      <c r="H1844" s="53"/>
    </row>
    <row r="1845" spans="3:8" x14ac:dyDescent="0.15">
      <c r="C1845" s="53"/>
      <c r="D1845" s="50"/>
      <c r="E1845" s="51"/>
      <c r="F1845" s="52"/>
      <c r="G1845" s="53"/>
      <c r="H1845" s="53"/>
    </row>
    <row r="1846" spans="3:8" x14ac:dyDescent="0.15">
      <c r="C1846" s="53"/>
      <c r="D1846" s="50"/>
      <c r="E1846" s="51"/>
      <c r="F1846" s="52"/>
      <c r="G1846" s="53"/>
      <c r="H1846" s="53"/>
    </row>
    <row r="1847" spans="3:8" x14ac:dyDescent="0.15">
      <c r="C1847" s="53"/>
      <c r="D1847" s="50"/>
      <c r="E1847" s="51"/>
      <c r="F1847" s="52"/>
      <c r="G1847" s="53"/>
      <c r="H1847" s="53"/>
    </row>
    <row r="1848" spans="3:8" x14ac:dyDescent="0.15">
      <c r="C1848" s="53"/>
      <c r="D1848" s="50"/>
      <c r="E1848" s="51"/>
      <c r="F1848" s="52"/>
      <c r="G1848" s="53"/>
      <c r="H1848" s="53"/>
    </row>
    <row r="1849" spans="3:8" x14ac:dyDescent="0.15">
      <c r="C1849" s="53"/>
      <c r="D1849" s="50"/>
      <c r="E1849" s="51"/>
      <c r="F1849" s="52"/>
      <c r="G1849" s="53"/>
      <c r="H1849" s="53"/>
    </row>
    <row r="1850" spans="3:8" x14ac:dyDescent="0.15">
      <c r="C1850" s="53"/>
      <c r="D1850" s="50"/>
      <c r="E1850" s="51"/>
      <c r="F1850" s="52"/>
      <c r="G1850" s="53"/>
      <c r="H1850" s="53"/>
    </row>
    <row r="1851" spans="3:8" x14ac:dyDescent="0.15">
      <c r="C1851" s="53"/>
      <c r="D1851" s="50"/>
      <c r="E1851" s="51"/>
      <c r="F1851" s="52"/>
      <c r="G1851" s="53"/>
      <c r="H1851" s="53"/>
    </row>
    <row r="1852" spans="3:8" x14ac:dyDescent="0.15">
      <c r="C1852" s="53"/>
      <c r="D1852" s="50"/>
      <c r="E1852" s="51"/>
      <c r="F1852" s="52"/>
      <c r="G1852" s="53"/>
      <c r="H1852" s="53"/>
    </row>
    <row r="1853" spans="3:8" x14ac:dyDescent="0.15">
      <c r="C1853" s="53"/>
      <c r="D1853" s="50"/>
      <c r="E1853" s="51"/>
      <c r="F1853" s="52"/>
      <c r="G1853" s="53"/>
      <c r="H1853" s="53"/>
    </row>
    <row r="1854" spans="3:8" x14ac:dyDescent="0.15">
      <c r="C1854" s="53"/>
      <c r="D1854" s="50"/>
      <c r="E1854" s="51"/>
      <c r="F1854" s="52"/>
      <c r="G1854" s="53"/>
      <c r="H1854" s="53"/>
    </row>
    <row r="1855" spans="3:8" x14ac:dyDescent="0.15">
      <c r="C1855" s="53"/>
      <c r="D1855" s="50"/>
      <c r="E1855" s="51"/>
      <c r="F1855" s="52"/>
      <c r="G1855" s="53"/>
      <c r="H1855" s="53"/>
    </row>
    <row r="1856" spans="3:8" x14ac:dyDescent="0.15">
      <c r="C1856" s="53"/>
      <c r="D1856" s="50"/>
      <c r="E1856" s="51"/>
      <c r="F1856" s="52"/>
      <c r="G1856" s="53"/>
      <c r="H1856" s="53"/>
    </row>
    <row r="1857" spans="3:8" x14ac:dyDescent="0.15">
      <c r="C1857" s="53"/>
      <c r="D1857" s="50"/>
      <c r="E1857" s="51"/>
      <c r="F1857" s="52"/>
      <c r="G1857" s="53"/>
      <c r="H1857" s="53"/>
    </row>
    <row r="1858" spans="3:8" x14ac:dyDescent="0.15">
      <c r="C1858" s="53"/>
      <c r="D1858" s="50"/>
      <c r="E1858" s="51"/>
      <c r="F1858" s="52"/>
      <c r="G1858" s="53"/>
      <c r="H1858" s="53"/>
    </row>
    <row r="1859" spans="3:8" x14ac:dyDescent="0.15">
      <c r="C1859" s="53"/>
      <c r="D1859" s="50"/>
      <c r="E1859" s="51"/>
      <c r="F1859" s="52"/>
      <c r="G1859" s="53"/>
      <c r="H1859" s="53"/>
    </row>
    <row r="1860" spans="3:8" x14ac:dyDescent="0.15">
      <c r="C1860" s="53"/>
      <c r="D1860" s="50"/>
      <c r="E1860" s="51"/>
      <c r="F1860" s="52"/>
      <c r="G1860" s="53"/>
      <c r="H1860" s="53"/>
    </row>
    <row r="1861" spans="3:8" x14ac:dyDescent="0.15">
      <c r="C1861" s="53"/>
      <c r="D1861" s="50"/>
      <c r="E1861" s="51"/>
      <c r="F1861" s="52"/>
      <c r="G1861" s="53"/>
      <c r="H1861" s="53"/>
    </row>
    <row r="1862" spans="3:8" x14ac:dyDescent="0.15">
      <c r="C1862" s="53"/>
      <c r="D1862" s="50"/>
      <c r="E1862" s="51"/>
      <c r="F1862" s="52"/>
      <c r="G1862" s="53"/>
      <c r="H1862" s="53"/>
    </row>
    <row r="1863" spans="3:8" x14ac:dyDescent="0.15">
      <c r="C1863" s="53"/>
      <c r="D1863" s="50"/>
      <c r="E1863" s="51"/>
      <c r="F1863" s="52"/>
      <c r="G1863" s="53"/>
      <c r="H1863" s="53"/>
    </row>
    <row r="1864" spans="3:8" x14ac:dyDescent="0.15">
      <c r="C1864" s="53"/>
      <c r="D1864" s="50"/>
      <c r="E1864" s="51"/>
      <c r="F1864" s="52"/>
      <c r="G1864" s="53"/>
      <c r="H1864" s="53"/>
    </row>
    <row r="1865" spans="3:8" x14ac:dyDescent="0.15">
      <c r="C1865" s="53"/>
      <c r="D1865" s="50"/>
      <c r="E1865" s="51"/>
      <c r="F1865" s="52"/>
      <c r="G1865" s="53"/>
      <c r="H1865" s="53"/>
    </row>
    <row r="1866" spans="3:8" x14ac:dyDescent="0.15">
      <c r="C1866" s="53"/>
      <c r="D1866" s="50"/>
      <c r="E1866" s="51"/>
      <c r="F1866" s="52"/>
      <c r="G1866" s="53"/>
      <c r="H1866" s="53"/>
    </row>
    <row r="1867" spans="3:8" x14ac:dyDescent="0.15">
      <c r="C1867" s="53"/>
      <c r="D1867" s="50"/>
      <c r="E1867" s="51"/>
      <c r="F1867" s="52"/>
      <c r="G1867" s="53"/>
      <c r="H1867" s="53"/>
    </row>
    <row r="1868" spans="3:8" x14ac:dyDescent="0.15">
      <c r="C1868" s="53"/>
      <c r="D1868" s="50"/>
      <c r="E1868" s="51"/>
      <c r="F1868" s="52"/>
      <c r="G1868" s="53"/>
      <c r="H1868" s="53"/>
    </row>
    <row r="1869" spans="3:8" x14ac:dyDescent="0.15">
      <c r="C1869" s="53"/>
      <c r="D1869" s="50"/>
      <c r="E1869" s="51"/>
      <c r="F1869" s="52"/>
      <c r="G1869" s="53"/>
      <c r="H1869" s="53"/>
    </row>
    <row r="1870" spans="3:8" x14ac:dyDescent="0.15">
      <c r="C1870" s="53"/>
      <c r="D1870" s="50"/>
      <c r="E1870" s="51"/>
      <c r="F1870" s="52"/>
      <c r="G1870" s="53"/>
      <c r="H1870" s="53"/>
    </row>
    <row r="1871" spans="3:8" x14ac:dyDescent="0.15">
      <c r="C1871" s="53"/>
      <c r="D1871" s="50"/>
      <c r="E1871" s="51"/>
      <c r="F1871" s="52"/>
      <c r="G1871" s="53"/>
      <c r="H1871" s="53"/>
    </row>
    <row r="1872" spans="3:8" x14ac:dyDescent="0.15">
      <c r="C1872" s="53"/>
      <c r="D1872" s="50"/>
      <c r="E1872" s="51"/>
      <c r="F1872" s="52"/>
      <c r="G1872" s="53"/>
      <c r="H1872" s="53"/>
    </row>
    <row r="1873" spans="3:8" x14ac:dyDescent="0.15">
      <c r="C1873" s="53"/>
      <c r="D1873" s="50"/>
      <c r="E1873" s="51"/>
      <c r="F1873" s="52"/>
      <c r="G1873" s="53"/>
      <c r="H1873" s="53"/>
    </row>
    <row r="1874" spans="3:8" x14ac:dyDescent="0.15">
      <c r="C1874" s="53"/>
      <c r="D1874" s="50"/>
      <c r="E1874" s="51"/>
      <c r="F1874" s="52"/>
      <c r="G1874" s="53"/>
      <c r="H1874" s="53"/>
    </row>
    <row r="1875" spans="3:8" x14ac:dyDescent="0.15">
      <c r="C1875" s="53"/>
      <c r="D1875" s="50"/>
      <c r="E1875" s="51"/>
      <c r="F1875" s="52"/>
      <c r="G1875" s="53"/>
      <c r="H1875" s="53"/>
    </row>
    <row r="1876" spans="3:8" x14ac:dyDescent="0.15">
      <c r="C1876" s="53"/>
      <c r="D1876" s="50"/>
      <c r="E1876" s="51"/>
      <c r="F1876" s="52"/>
      <c r="G1876" s="53"/>
      <c r="H1876" s="53"/>
    </row>
    <row r="1877" spans="3:8" x14ac:dyDescent="0.15">
      <c r="C1877" s="53"/>
      <c r="D1877" s="50"/>
      <c r="E1877" s="51"/>
      <c r="F1877" s="52"/>
      <c r="G1877" s="53"/>
      <c r="H1877" s="53"/>
    </row>
    <row r="1878" spans="3:8" x14ac:dyDescent="0.15">
      <c r="C1878" s="53"/>
      <c r="D1878" s="50"/>
      <c r="E1878" s="51"/>
      <c r="F1878" s="52"/>
      <c r="G1878" s="53"/>
      <c r="H1878" s="53"/>
    </row>
    <row r="1879" spans="3:8" x14ac:dyDescent="0.15">
      <c r="C1879" s="53"/>
      <c r="D1879" s="50"/>
      <c r="E1879" s="51"/>
      <c r="F1879" s="52"/>
      <c r="G1879" s="53"/>
      <c r="H1879" s="53"/>
    </row>
    <row r="1880" spans="3:8" x14ac:dyDescent="0.15">
      <c r="C1880" s="53"/>
      <c r="D1880" s="50"/>
      <c r="E1880" s="51"/>
      <c r="F1880" s="52"/>
      <c r="G1880" s="53"/>
      <c r="H1880" s="53"/>
    </row>
    <row r="1881" spans="3:8" x14ac:dyDescent="0.15">
      <c r="C1881" s="53"/>
      <c r="D1881" s="50"/>
      <c r="E1881" s="51"/>
      <c r="F1881" s="52"/>
      <c r="G1881" s="53"/>
      <c r="H1881" s="53"/>
    </row>
    <row r="1882" spans="3:8" x14ac:dyDescent="0.15">
      <c r="C1882" s="53"/>
      <c r="D1882" s="50"/>
      <c r="E1882" s="51"/>
      <c r="F1882" s="52"/>
      <c r="G1882" s="53"/>
      <c r="H1882" s="53"/>
    </row>
    <row r="1883" spans="3:8" x14ac:dyDescent="0.15">
      <c r="C1883" s="53"/>
      <c r="D1883" s="50"/>
      <c r="E1883" s="51"/>
      <c r="F1883" s="52"/>
      <c r="G1883" s="53"/>
      <c r="H1883" s="53"/>
    </row>
    <row r="1884" spans="3:8" x14ac:dyDescent="0.15">
      <c r="C1884" s="53"/>
      <c r="D1884" s="50"/>
      <c r="E1884" s="51"/>
      <c r="F1884" s="52"/>
      <c r="G1884" s="53"/>
      <c r="H1884" s="53"/>
    </row>
    <row r="1885" spans="3:8" x14ac:dyDescent="0.15">
      <c r="C1885" s="53"/>
      <c r="D1885" s="50"/>
      <c r="E1885" s="51"/>
      <c r="F1885" s="52"/>
      <c r="G1885" s="53"/>
      <c r="H1885" s="53"/>
    </row>
    <row r="1886" spans="3:8" x14ac:dyDescent="0.15">
      <c r="C1886" s="53"/>
      <c r="D1886" s="50"/>
      <c r="E1886" s="51"/>
      <c r="F1886" s="52"/>
      <c r="G1886" s="53"/>
      <c r="H1886" s="53"/>
    </row>
    <row r="1887" spans="3:8" x14ac:dyDescent="0.15">
      <c r="C1887" s="53"/>
      <c r="D1887" s="50"/>
      <c r="E1887" s="51"/>
      <c r="F1887" s="52"/>
      <c r="G1887" s="53"/>
      <c r="H1887" s="53"/>
    </row>
    <row r="1888" spans="3:8" x14ac:dyDescent="0.15">
      <c r="C1888" s="53"/>
      <c r="D1888" s="50"/>
      <c r="E1888" s="51"/>
      <c r="F1888" s="52"/>
      <c r="G1888" s="53"/>
      <c r="H1888" s="53"/>
    </row>
    <row r="1889" spans="3:8" x14ac:dyDescent="0.15">
      <c r="C1889" s="53"/>
      <c r="D1889" s="50"/>
      <c r="E1889" s="51"/>
      <c r="F1889" s="52"/>
      <c r="G1889" s="53"/>
      <c r="H1889" s="53"/>
    </row>
    <row r="1890" spans="3:8" x14ac:dyDescent="0.15">
      <c r="C1890" s="53"/>
      <c r="D1890" s="50"/>
      <c r="E1890" s="51"/>
      <c r="F1890" s="52"/>
      <c r="G1890" s="53"/>
      <c r="H1890" s="53"/>
    </row>
    <row r="1891" spans="3:8" x14ac:dyDescent="0.15">
      <c r="C1891" s="53"/>
      <c r="D1891" s="50"/>
      <c r="E1891" s="51"/>
      <c r="F1891" s="52"/>
      <c r="G1891" s="53"/>
      <c r="H1891" s="53"/>
    </row>
    <row r="1892" spans="3:8" x14ac:dyDescent="0.15">
      <c r="C1892" s="53"/>
      <c r="D1892" s="50"/>
      <c r="E1892" s="51"/>
      <c r="F1892" s="52"/>
      <c r="G1892" s="53"/>
      <c r="H1892" s="53"/>
    </row>
    <row r="1893" spans="3:8" x14ac:dyDescent="0.15">
      <c r="C1893" s="53"/>
      <c r="D1893" s="50"/>
      <c r="E1893" s="51"/>
      <c r="F1893" s="52"/>
      <c r="G1893" s="53"/>
      <c r="H1893" s="53"/>
    </row>
    <row r="1894" spans="3:8" x14ac:dyDescent="0.15">
      <c r="C1894" s="53"/>
      <c r="D1894" s="50"/>
      <c r="E1894" s="51"/>
      <c r="F1894" s="52"/>
      <c r="G1894" s="53"/>
      <c r="H1894" s="53"/>
    </row>
    <row r="1895" spans="3:8" x14ac:dyDescent="0.15">
      <c r="C1895" s="53"/>
      <c r="D1895" s="50"/>
      <c r="E1895" s="51"/>
      <c r="F1895" s="52"/>
      <c r="G1895" s="53"/>
      <c r="H1895" s="53"/>
    </row>
    <row r="1896" spans="3:8" x14ac:dyDescent="0.15">
      <c r="C1896" s="53"/>
      <c r="D1896" s="50"/>
      <c r="E1896" s="51"/>
      <c r="F1896" s="52"/>
      <c r="G1896" s="53"/>
      <c r="H1896" s="53"/>
    </row>
    <row r="1897" spans="3:8" x14ac:dyDescent="0.15">
      <c r="C1897" s="53"/>
      <c r="D1897" s="50"/>
      <c r="E1897" s="51"/>
      <c r="F1897" s="52"/>
      <c r="G1897" s="53"/>
      <c r="H1897" s="53"/>
    </row>
    <row r="1898" spans="3:8" x14ac:dyDescent="0.15">
      <c r="C1898" s="53"/>
      <c r="D1898" s="50"/>
      <c r="E1898" s="51"/>
      <c r="F1898" s="52"/>
      <c r="G1898" s="53"/>
      <c r="H1898" s="53"/>
    </row>
    <row r="1899" spans="3:8" x14ac:dyDescent="0.15">
      <c r="C1899" s="53"/>
      <c r="D1899" s="50"/>
      <c r="E1899" s="51"/>
      <c r="F1899" s="52"/>
      <c r="G1899" s="53"/>
      <c r="H1899" s="53"/>
    </row>
    <row r="1900" spans="3:8" x14ac:dyDescent="0.15">
      <c r="C1900" s="53"/>
      <c r="D1900" s="50"/>
      <c r="E1900" s="51"/>
      <c r="F1900" s="52"/>
      <c r="G1900" s="53"/>
      <c r="H1900" s="53"/>
    </row>
    <row r="1901" spans="3:8" x14ac:dyDescent="0.15">
      <c r="C1901" s="53"/>
      <c r="D1901" s="50"/>
      <c r="E1901" s="51"/>
      <c r="F1901" s="52"/>
      <c r="G1901" s="53"/>
      <c r="H1901" s="53"/>
    </row>
    <row r="1902" spans="3:8" x14ac:dyDescent="0.15">
      <c r="C1902" s="53"/>
      <c r="D1902" s="50"/>
      <c r="E1902" s="51"/>
      <c r="F1902" s="52"/>
      <c r="G1902" s="53"/>
      <c r="H1902" s="53"/>
    </row>
    <row r="1903" spans="3:8" x14ac:dyDescent="0.15">
      <c r="C1903" s="53"/>
      <c r="D1903" s="50"/>
      <c r="E1903" s="51"/>
      <c r="F1903" s="52"/>
      <c r="G1903" s="53"/>
      <c r="H1903" s="53"/>
    </row>
    <row r="1904" spans="3:8" x14ac:dyDescent="0.15">
      <c r="C1904" s="53"/>
      <c r="D1904" s="50"/>
      <c r="E1904" s="51"/>
      <c r="F1904" s="52"/>
      <c r="G1904" s="53"/>
      <c r="H1904" s="53"/>
    </row>
    <row r="1905" spans="3:8" x14ac:dyDescent="0.15">
      <c r="C1905" s="53"/>
      <c r="D1905" s="50"/>
      <c r="E1905" s="51"/>
      <c r="F1905" s="52"/>
      <c r="G1905" s="53"/>
      <c r="H1905" s="53"/>
    </row>
    <row r="1906" spans="3:8" x14ac:dyDescent="0.15">
      <c r="C1906" s="53"/>
      <c r="D1906" s="50"/>
      <c r="E1906" s="51"/>
      <c r="F1906" s="52"/>
      <c r="G1906" s="53"/>
      <c r="H1906" s="53"/>
    </row>
    <row r="1907" spans="3:8" x14ac:dyDescent="0.15">
      <c r="C1907" s="53"/>
      <c r="D1907" s="50"/>
      <c r="E1907" s="51"/>
      <c r="F1907" s="52"/>
      <c r="G1907" s="53"/>
      <c r="H1907" s="53"/>
    </row>
    <row r="1908" spans="3:8" x14ac:dyDescent="0.15">
      <c r="C1908" s="53"/>
      <c r="D1908" s="50"/>
      <c r="E1908" s="51"/>
      <c r="F1908" s="52"/>
      <c r="G1908" s="53"/>
      <c r="H1908" s="53"/>
    </row>
    <row r="1909" spans="3:8" x14ac:dyDescent="0.15">
      <c r="C1909" s="53"/>
      <c r="D1909" s="50"/>
      <c r="E1909" s="51"/>
      <c r="F1909" s="52"/>
      <c r="G1909" s="53"/>
      <c r="H1909" s="53"/>
    </row>
    <row r="1910" spans="3:8" x14ac:dyDescent="0.15">
      <c r="C1910" s="53"/>
      <c r="D1910" s="50"/>
      <c r="E1910" s="51"/>
      <c r="F1910" s="52"/>
      <c r="G1910" s="53"/>
      <c r="H1910" s="53"/>
    </row>
    <row r="1911" spans="3:8" x14ac:dyDescent="0.15">
      <c r="C1911" s="53"/>
      <c r="D1911" s="50"/>
      <c r="E1911" s="51"/>
      <c r="F1911" s="52"/>
      <c r="G1911" s="53"/>
      <c r="H1911" s="53"/>
    </row>
    <row r="1912" spans="3:8" x14ac:dyDescent="0.15">
      <c r="C1912" s="53"/>
      <c r="D1912" s="50"/>
      <c r="E1912" s="51"/>
      <c r="F1912" s="52"/>
      <c r="G1912" s="53"/>
      <c r="H1912" s="53"/>
    </row>
    <row r="1913" spans="3:8" x14ac:dyDescent="0.15">
      <c r="C1913" s="53"/>
      <c r="D1913" s="50"/>
      <c r="E1913" s="51"/>
      <c r="F1913" s="52"/>
      <c r="G1913" s="53"/>
      <c r="H1913" s="53"/>
    </row>
    <row r="1914" spans="3:8" x14ac:dyDescent="0.15">
      <c r="C1914" s="53"/>
      <c r="D1914" s="50"/>
      <c r="E1914" s="51"/>
      <c r="F1914" s="52"/>
      <c r="G1914" s="53"/>
      <c r="H1914" s="53"/>
    </row>
    <row r="1915" spans="3:8" x14ac:dyDescent="0.15">
      <c r="C1915" s="53"/>
      <c r="D1915" s="50"/>
      <c r="E1915" s="51"/>
      <c r="F1915" s="52"/>
      <c r="G1915" s="53"/>
      <c r="H1915" s="53"/>
    </row>
    <row r="1916" spans="3:8" x14ac:dyDescent="0.15">
      <c r="C1916" s="53"/>
      <c r="D1916" s="50"/>
      <c r="E1916" s="51"/>
      <c r="F1916" s="52"/>
      <c r="G1916" s="53"/>
      <c r="H1916" s="53"/>
    </row>
    <row r="1917" spans="3:8" x14ac:dyDescent="0.15">
      <c r="C1917" s="53"/>
      <c r="D1917" s="50"/>
      <c r="E1917" s="51"/>
      <c r="F1917" s="52"/>
      <c r="G1917" s="53"/>
      <c r="H1917" s="53"/>
    </row>
    <row r="1918" spans="3:8" x14ac:dyDescent="0.15">
      <c r="C1918" s="53"/>
      <c r="D1918" s="50"/>
      <c r="E1918" s="51"/>
      <c r="F1918" s="52"/>
      <c r="G1918" s="53"/>
      <c r="H1918" s="53"/>
    </row>
    <row r="1919" spans="3:8" x14ac:dyDescent="0.15">
      <c r="C1919" s="53"/>
      <c r="D1919" s="50"/>
      <c r="E1919" s="51"/>
      <c r="F1919" s="52"/>
      <c r="G1919" s="53"/>
      <c r="H1919" s="53"/>
    </row>
    <row r="1920" spans="3:8" x14ac:dyDescent="0.15">
      <c r="C1920" s="53"/>
      <c r="D1920" s="50"/>
      <c r="E1920" s="51"/>
      <c r="F1920" s="52"/>
      <c r="G1920" s="53"/>
      <c r="H1920" s="53"/>
    </row>
    <row r="1921" spans="3:8" x14ac:dyDescent="0.15">
      <c r="C1921" s="53"/>
      <c r="D1921" s="50"/>
      <c r="E1921" s="51"/>
      <c r="F1921" s="52"/>
      <c r="G1921" s="53"/>
      <c r="H1921" s="53"/>
    </row>
    <row r="1922" spans="3:8" x14ac:dyDescent="0.15">
      <c r="C1922" s="53"/>
      <c r="D1922" s="50"/>
      <c r="E1922" s="51"/>
      <c r="F1922" s="52"/>
      <c r="G1922" s="53"/>
      <c r="H1922" s="53"/>
    </row>
    <row r="1923" spans="3:8" x14ac:dyDescent="0.15">
      <c r="C1923" s="53"/>
      <c r="D1923" s="50"/>
      <c r="E1923" s="51"/>
      <c r="F1923" s="52"/>
      <c r="G1923" s="53"/>
      <c r="H1923" s="53"/>
    </row>
    <row r="1924" spans="3:8" x14ac:dyDescent="0.15">
      <c r="C1924" s="53"/>
      <c r="D1924" s="50"/>
      <c r="E1924" s="51"/>
      <c r="F1924" s="52"/>
      <c r="G1924" s="53"/>
      <c r="H1924" s="53"/>
    </row>
    <row r="1925" spans="3:8" x14ac:dyDescent="0.15">
      <c r="C1925" s="53"/>
      <c r="D1925" s="50"/>
      <c r="E1925" s="51"/>
      <c r="F1925" s="52"/>
      <c r="G1925" s="53"/>
      <c r="H1925" s="53"/>
    </row>
    <row r="1926" spans="3:8" x14ac:dyDescent="0.15">
      <c r="C1926" s="53"/>
      <c r="D1926" s="50"/>
      <c r="E1926" s="51"/>
      <c r="F1926" s="52"/>
      <c r="G1926" s="53"/>
      <c r="H1926" s="53"/>
    </row>
    <row r="1927" spans="3:8" x14ac:dyDescent="0.15">
      <c r="C1927" s="53"/>
      <c r="D1927" s="50"/>
      <c r="E1927" s="51"/>
      <c r="F1927" s="52"/>
      <c r="G1927" s="53"/>
      <c r="H1927" s="53"/>
    </row>
    <row r="1928" spans="3:8" x14ac:dyDescent="0.15">
      <c r="C1928" s="53"/>
      <c r="D1928" s="50"/>
      <c r="E1928" s="51"/>
      <c r="F1928" s="52"/>
      <c r="G1928" s="53"/>
      <c r="H1928" s="53"/>
    </row>
    <row r="1929" spans="3:8" x14ac:dyDescent="0.15">
      <c r="C1929" s="53"/>
      <c r="D1929" s="50"/>
      <c r="E1929" s="51"/>
      <c r="F1929" s="52"/>
      <c r="G1929" s="53"/>
      <c r="H1929" s="53"/>
    </row>
    <row r="1930" spans="3:8" x14ac:dyDescent="0.15">
      <c r="C1930" s="53"/>
      <c r="D1930" s="50"/>
      <c r="E1930" s="51"/>
      <c r="F1930" s="52"/>
      <c r="G1930" s="53"/>
      <c r="H1930" s="53"/>
    </row>
    <row r="1931" spans="3:8" x14ac:dyDescent="0.15">
      <c r="C1931" s="53"/>
      <c r="D1931" s="50"/>
      <c r="E1931" s="51"/>
      <c r="F1931" s="52"/>
      <c r="G1931" s="53"/>
      <c r="H1931" s="53"/>
    </row>
    <row r="1932" spans="3:8" x14ac:dyDescent="0.15">
      <c r="C1932" s="53"/>
      <c r="D1932" s="50"/>
      <c r="E1932" s="51"/>
      <c r="F1932" s="52"/>
      <c r="G1932" s="53"/>
      <c r="H1932" s="53"/>
    </row>
    <row r="1933" spans="3:8" x14ac:dyDescent="0.15">
      <c r="C1933" s="53"/>
      <c r="D1933" s="50"/>
      <c r="E1933" s="51"/>
      <c r="F1933" s="52"/>
      <c r="G1933" s="53"/>
      <c r="H1933" s="53"/>
    </row>
    <row r="1934" spans="3:8" x14ac:dyDescent="0.15">
      <c r="C1934" s="53"/>
      <c r="D1934" s="50"/>
      <c r="E1934" s="51"/>
      <c r="F1934" s="52"/>
      <c r="G1934" s="53"/>
      <c r="H1934" s="53"/>
    </row>
    <row r="1935" spans="3:8" x14ac:dyDescent="0.15">
      <c r="C1935" s="53"/>
      <c r="D1935" s="50"/>
      <c r="E1935" s="51"/>
      <c r="F1935" s="52"/>
      <c r="G1935" s="53"/>
      <c r="H1935" s="53"/>
    </row>
    <row r="1936" spans="3:8" x14ac:dyDescent="0.15">
      <c r="C1936" s="53"/>
      <c r="D1936" s="50"/>
      <c r="E1936" s="51"/>
      <c r="F1936" s="52"/>
      <c r="G1936" s="53"/>
      <c r="H1936" s="53"/>
    </row>
    <row r="1937" spans="3:8" x14ac:dyDescent="0.15">
      <c r="C1937" s="53"/>
      <c r="D1937" s="50"/>
      <c r="E1937" s="51"/>
      <c r="F1937" s="52"/>
      <c r="G1937" s="53"/>
      <c r="H1937" s="53"/>
    </row>
    <row r="1938" spans="3:8" x14ac:dyDescent="0.15">
      <c r="C1938" s="53"/>
      <c r="D1938" s="50"/>
      <c r="E1938" s="51"/>
      <c r="F1938" s="52"/>
      <c r="G1938" s="53"/>
      <c r="H1938" s="53"/>
    </row>
    <row r="1939" spans="3:8" x14ac:dyDescent="0.15">
      <c r="C1939" s="53"/>
      <c r="D1939" s="50"/>
      <c r="E1939" s="51"/>
      <c r="F1939" s="52"/>
      <c r="G1939" s="53"/>
      <c r="H1939" s="53"/>
    </row>
    <row r="1940" spans="3:8" x14ac:dyDescent="0.15">
      <c r="C1940" s="53"/>
      <c r="D1940" s="50"/>
      <c r="E1940" s="51"/>
      <c r="F1940" s="52"/>
      <c r="G1940" s="53"/>
      <c r="H1940" s="53"/>
    </row>
    <row r="1941" spans="3:8" x14ac:dyDescent="0.15">
      <c r="C1941" s="53"/>
      <c r="D1941" s="50"/>
      <c r="E1941" s="51"/>
      <c r="F1941" s="52"/>
      <c r="G1941" s="53"/>
      <c r="H1941" s="53"/>
    </row>
    <row r="1942" spans="3:8" x14ac:dyDescent="0.15">
      <c r="C1942" s="53"/>
      <c r="D1942" s="50"/>
      <c r="E1942" s="51"/>
      <c r="F1942" s="52"/>
      <c r="G1942" s="53"/>
      <c r="H1942" s="53"/>
    </row>
    <row r="1943" spans="3:8" x14ac:dyDescent="0.15">
      <c r="C1943" s="53"/>
      <c r="D1943" s="50"/>
      <c r="E1943" s="51"/>
      <c r="F1943" s="52"/>
      <c r="G1943" s="53"/>
      <c r="H1943" s="53"/>
    </row>
    <row r="1944" spans="3:8" x14ac:dyDescent="0.15">
      <c r="C1944" s="53"/>
      <c r="D1944" s="50"/>
      <c r="E1944" s="51"/>
      <c r="F1944" s="52"/>
      <c r="G1944" s="53"/>
      <c r="H1944" s="53"/>
    </row>
    <row r="1945" spans="3:8" x14ac:dyDescent="0.15">
      <c r="C1945" s="53"/>
      <c r="D1945" s="50"/>
      <c r="E1945" s="51"/>
      <c r="F1945" s="52"/>
      <c r="G1945" s="53"/>
      <c r="H1945" s="53"/>
    </row>
    <row r="1946" spans="3:8" x14ac:dyDescent="0.15">
      <c r="C1946" s="53"/>
      <c r="D1946" s="50"/>
      <c r="E1946" s="51"/>
      <c r="F1946" s="52"/>
      <c r="G1946" s="53"/>
      <c r="H1946" s="53"/>
    </row>
    <row r="1947" spans="3:8" x14ac:dyDescent="0.15">
      <c r="C1947" s="53"/>
      <c r="D1947" s="50"/>
      <c r="E1947" s="51"/>
      <c r="F1947" s="52"/>
      <c r="G1947" s="53"/>
      <c r="H1947" s="53"/>
    </row>
    <row r="1948" spans="3:8" x14ac:dyDescent="0.15">
      <c r="C1948" s="53"/>
      <c r="D1948" s="50"/>
      <c r="E1948" s="51"/>
      <c r="F1948" s="52"/>
      <c r="G1948" s="53"/>
      <c r="H1948" s="53"/>
    </row>
    <row r="1949" spans="3:8" x14ac:dyDescent="0.15">
      <c r="C1949" s="53"/>
      <c r="D1949" s="50"/>
      <c r="E1949" s="51"/>
      <c r="F1949" s="52"/>
      <c r="G1949" s="53"/>
      <c r="H1949" s="53"/>
    </row>
    <row r="1950" spans="3:8" x14ac:dyDescent="0.15">
      <c r="C1950" s="53"/>
      <c r="D1950" s="50"/>
      <c r="E1950" s="51"/>
      <c r="F1950" s="52"/>
      <c r="G1950" s="53"/>
      <c r="H1950" s="53"/>
    </row>
    <row r="1951" spans="3:8" x14ac:dyDescent="0.15">
      <c r="C1951" s="53"/>
      <c r="D1951" s="50"/>
      <c r="E1951" s="51"/>
      <c r="F1951" s="52"/>
      <c r="G1951" s="53"/>
      <c r="H1951" s="53"/>
    </row>
    <row r="1952" spans="3:8" x14ac:dyDescent="0.15">
      <c r="C1952" s="53"/>
      <c r="D1952" s="50"/>
      <c r="E1952" s="51"/>
      <c r="F1952" s="52"/>
      <c r="G1952" s="53"/>
      <c r="H1952" s="53"/>
    </row>
    <row r="1953" spans="3:8" x14ac:dyDescent="0.15">
      <c r="C1953" s="53"/>
      <c r="D1953" s="50"/>
      <c r="E1953" s="51"/>
      <c r="F1953" s="52"/>
      <c r="G1953" s="53"/>
      <c r="H1953" s="53"/>
    </row>
    <row r="1954" spans="3:8" x14ac:dyDescent="0.15">
      <c r="C1954" s="53"/>
      <c r="D1954" s="50"/>
      <c r="E1954" s="51"/>
      <c r="F1954" s="52"/>
      <c r="G1954" s="53"/>
      <c r="H1954" s="53"/>
    </row>
    <row r="1955" spans="3:8" x14ac:dyDescent="0.15">
      <c r="C1955" s="53"/>
      <c r="D1955" s="50"/>
      <c r="E1955" s="51"/>
      <c r="F1955" s="52"/>
      <c r="G1955" s="53"/>
      <c r="H1955" s="53"/>
    </row>
    <row r="1956" spans="3:8" x14ac:dyDescent="0.15">
      <c r="C1956" s="53"/>
      <c r="D1956" s="50"/>
      <c r="E1956" s="51"/>
      <c r="F1956" s="52"/>
      <c r="G1956" s="53"/>
      <c r="H1956" s="53"/>
    </row>
    <row r="1957" spans="3:8" x14ac:dyDescent="0.15">
      <c r="C1957" s="53"/>
      <c r="D1957" s="50"/>
      <c r="E1957" s="51"/>
      <c r="F1957" s="52"/>
      <c r="G1957" s="53"/>
      <c r="H1957" s="53"/>
    </row>
    <row r="1958" spans="3:8" x14ac:dyDescent="0.15">
      <c r="C1958" s="53"/>
      <c r="D1958" s="50"/>
      <c r="E1958" s="51"/>
      <c r="F1958" s="52"/>
      <c r="G1958" s="53"/>
      <c r="H1958" s="53"/>
    </row>
    <row r="1959" spans="3:8" x14ac:dyDescent="0.15">
      <c r="C1959" s="53"/>
      <c r="D1959" s="50"/>
      <c r="E1959" s="51"/>
      <c r="F1959" s="52"/>
      <c r="G1959" s="53"/>
      <c r="H1959" s="53"/>
    </row>
    <row r="1960" spans="3:8" x14ac:dyDescent="0.15">
      <c r="C1960" s="53"/>
      <c r="D1960" s="50"/>
      <c r="E1960" s="51"/>
      <c r="F1960" s="52"/>
      <c r="G1960" s="53"/>
      <c r="H1960" s="53"/>
    </row>
    <row r="1961" spans="3:8" x14ac:dyDescent="0.15">
      <c r="C1961" s="53"/>
      <c r="D1961" s="50"/>
      <c r="E1961" s="51"/>
      <c r="F1961" s="52"/>
      <c r="G1961" s="53"/>
      <c r="H1961" s="53"/>
    </row>
    <row r="1962" spans="3:8" x14ac:dyDescent="0.15">
      <c r="C1962" s="53"/>
      <c r="D1962" s="50"/>
      <c r="E1962" s="51"/>
      <c r="F1962" s="52"/>
      <c r="G1962" s="53"/>
      <c r="H1962" s="53"/>
    </row>
    <row r="1963" spans="3:8" x14ac:dyDescent="0.15">
      <c r="C1963" s="53"/>
      <c r="D1963" s="50"/>
      <c r="E1963" s="51"/>
      <c r="F1963" s="52"/>
      <c r="G1963" s="53"/>
      <c r="H1963" s="53"/>
    </row>
    <row r="1964" spans="3:8" x14ac:dyDescent="0.15">
      <c r="C1964" s="53"/>
      <c r="D1964" s="50"/>
      <c r="E1964" s="51"/>
      <c r="F1964" s="52"/>
      <c r="G1964" s="53"/>
      <c r="H1964" s="53"/>
    </row>
    <row r="1965" spans="3:8" x14ac:dyDescent="0.15">
      <c r="C1965" s="53"/>
      <c r="D1965" s="50"/>
      <c r="E1965" s="51"/>
      <c r="F1965" s="52"/>
      <c r="G1965" s="53"/>
      <c r="H1965" s="53"/>
    </row>
    <row r="1966" spans="3:8" x14ac:dyDescent="0.15">
      <c r="C1966" s="53"/>
      <c r="D1966" s="50"/>
      <c r="E1966" s="51"/>
      <c r="F1966" s="52"/>
      <c r="G1966" s="53"/>
      <c r="H1966" s="53"/>
    </row>
    <row r="1967" spans="3:8" x14ac:dyDescent="0.15">
      <c r="C1967" s="53"/>
      <c r="D1967" s="50"/>
      <c r="E1967" s="51"/>
      <c r="F1967" s="52"/>
      <c r="G1967" s="53"/>
      <c r="H1967" s="53"/>
    </row>
    <row r="1968" spans="3:8" x14ac:dyDescent="0.15">
      <c r="C1968" s="53"/>
      <c r="D1968" s="50"/>
      <c r="E1968" s="51"/>
      <c r="F1968" s="52"/>
      <c r="G1968" s="53"/>
      <c r="H1968" s="53"/>
    </row>
    <row r="1969" spans="3:8" x14ac:dyDescent="0.15">
      <c r="C1969" s="53"/>
      <c r="D1969" s="50"/>
      <c r="E1969" s="51"/>
      <c r="F1969" s="52"/>
      <c r="G1969" s="53"/>
      <c r="H1969" s="53"/>
    </row>
    <row r="1970" spans="3:8" x14ac:dyDescent="0.15">
      <c r="C1970" s="53"/>
      <c r="D1970" s="50"/>
      <c r="E1970" s="51"/>
      <c r="F1970" s="52"/>
      <c r="G1970" s="53"/>
      <c r="H1970" s="53"/>
    </row>
    <row r="1971" spans="3:8" x14ac:dyDescent="0.15">
      <c r="C1971" s="53"/>
      <c r="D1971" s="50"/>
      <c r="E1971" s="51"/>
      <c r="F1971" s="52"/>
      <c r="G1971" s="53"/>
      <c r="H1971" s="53"/>
    </row>
    <row r="1972" spans="3:8" x14ac:dyDescent="0.15">
      <c r="C1972" s="53"/>
      <c r="D1972" s="50"/>
      <c r="E1972" s="51"/>
      <c r="F1972" s="52"/>
      <c r="G1972" s="53"/>
      <c r="H1972" s="53"/>
    </row>
    <row r="1973" spans="3:8" x14ac:dyDescent="0.15">
      <c r="C1973" s="53"/>
      <c r="D1973" s="50"/>
      <c r="E1973" s="51"/>
      <c r="F1973" s="52"/>
      <c r="G1973" s="53"/>
      <c r="H1973" s="53"/>
    </row>
    <row r="1974" spans="3:8" x14ac:dyDescent="0.15">
      <c r="C1974" s="53"/>
      <c r="D1974" s="50"/>
      <c r="E1974" s="51"/>
      <c r="F1974" s="52"/>
      <c r="G1974" s="53"/>
      <c r="H1974" s="53"/>
    </row>
    <row r="1975" spans="3:8" x14ac:dyDescent="0.15">
      <c r="C1975" s="53"/>
      <c r="D1975" s="50"/>
      <c r="E1975" s="51"/>
      <c r="F1975" s="52"/>
      <c r="G1975" s="53"/>
      <c r="H1975" s="53"/>
    </row>
    <row r="1976" spans="3:8" x14ac:dyDescent="0.15">
      <c r="C1976" s="53"/>
      <c r="D1976" s="50"/>
      <c r="E1976" s="51"/>
      <c r="F1976" s="52"/>
      <c r="G1976" s="53"/>
      <c r="H1976" s="53"/>
    </row>
    <row r="1977" spans="3:8" x14ac:dyDescent="0.15">
      <c r="C1977" s="53"/>
      <c r="D1977" s="50"/>
      <c r="E1977" s="51"/>
      <c r="F1977" s="52"/>
      <c r="G1977" s="53"/>
      <c r="H1977" s="53"/>
    </row>
    <row r="1978" spans="3:8" x14ac:dyDescent="0.15">
      <c r="C1978" s="53"/>
      <c r="D1978" s="50"/>
      <c r="E1978" s="51"/>
      <c r="F1978" s="52"/>
      <c r="G1978" s="53"/>
      <c r="H1978" s="53"/>
    </row>
    <row r="1979" spans="3:8" x14ac:dyDescent="0.15">
      <c r="C1979" s="53"/>
      <c r="D1979" s="50"/>
      <c r="E1979" s="51"/>
      <c r="F1979" s="52"/>
      <c r="G1979" s="53"/>
      <c r="H1979" s="53"/>
    </row>
    <row r="1980" spans="3:8" x14ac:dyDescent="0.15">
      <c r="C1980" s="53"/>
      <c r="D1980" s="50"/>
      <c r="E1980" s="51"/>
      <c r="F1980" s="52"/>
      <c r="G1980" s="53"/>
      <c r="H1980" s="53"/>
    </row>
    <row r="1981" spans="3:8" x14ac:dyDescent="0.15">
      <c r="C1981" s="53"/>
      <c r="D1981" s="50"/>
      <c r="E1981" s="51"/>
      <c r="F1981" s="52"/>
      <c r="G1981" s="53"/>
      <c r="H1981" s="53"/>
    </row>
    <row r="1982" spans="3:8" x14ac:dyDescent="0.15">
      <c r="C1982" s="53"/>
      <c r="D1982" s="50"/>
      <c r="E1982" s="51"/>
      <c r="F1982" s="52"/>
      <c r="G1982" s="53"/>
      <c r="H1982" s="53"/>
    </row>
    <row r="1983" spans="3:8" x14ac:dyDescent="0.15">
      <c r="C1983" s="53"/>
      <c r="D1983" s="50"/>
      <c r="E1983" s="51"/>
      <c r="F1983" s="52"/>
      <c r="G1983" s="53"/>
      <c r="H1983" s="53"/>
    </row>
    <row r="1984" spans="3:8" x14ac:dyDescent="0.15">
      <c r="C1984" s="53"/>
      <c r="D1984" s="50"/>
      <c r="E1984" s="51"/>
      <c r="F1984" s="52"/>
      <c r="G1984" s="53"/>
      <c r="H1984" s="53"/>
    </row>
    <row r="1985" spans="3:8" x14ac:dyDescent="0.15">
      <c r="C1985" s="53"/>
      <c r="D1985" s="50"/>
      <c r="E1985" s="51"/>
      <c r="F1985" s="52"/>
      <c r="G1985" s="53"/>
      <c r="H1985" s="53"/>
    </row>
    <row r="1986" spans="3:8" x14ac:dyDescent="0.15">
      <c r="C1986" s="53"/>
      <c r="D1986" s="50"/>
      <c r="E1986" s="51"/>
      <c r="F1986" s="52"/>
      <c r="G1986" s="53"/>
      <c r="H1986" s="53"/>
    </row>
    <row r="1987" spans="3:8" x14ac:dyDescent="0.15">
      <c r="C1987" s="53"/>
      <c r="D1987" s="50"/>
      <c r="E1987" s="51"/>
      <c r="F1987" s="52"/>
      <c r="G1987" s="53"/>
      <c r="H1987" s="53"/>
    </row>
    <row r="1988" spans="3:8" x14ac:dyDescent="0.15">
      <c r="C1988" s="53"/>
      <c r="D1988" s="50"/>
      <c r="E1988" s="51"/>
      <c r="F1988" s="52"/>
      <c r="G1988" s="53"/>
      <c r="H1988" s="53"/>
    </row>
    <row r="1989" spans="3:8" x14ac:dyDescent="0.15">
      <c r="C1989" s="53"/>
      <c r="D1989" s="50"/>
      <c r="E1989" s="51"/>
      <c r="F1989" s="52"/>
      <c r="G1989" s="53"/>
      <c r="H1989" s="53"/>
    </row>
    <row r="1990" spans="3:8" x14ac:dyDescent="0.15">
      <c r="C1990" s="53"/>
      <c r="D1990" s="50"/>
      <c r="E1990" s="51"/>
      <c r="F1990" s="52"/>
      <c r="G1990" s="53"/>
      <c r="H1990" s="53"/>
    </row>
    <row r="1991" spans="3:8" x14ac:dyDescent="0.15">
      <c r="C1991" s="53"/>
      <c r="D1991" s="50"/>
      <c r="E1991" s="51"/>
      <c r="F1991" s="52"/>
      <c r="G1991" s="53"/>
      <c r="H1991" s="53"/>
    </row>
    <row r="1992" spans="3:8" x14ac:dyDescent="0.15">
      <c r="C1992" s="53"/>
      <c r="D1992" s="50"/>
      <c r="E1992" s="51"/>
      <c r="F1992" s="52"/>
      <c r="G1992" s="53"/>
      <c r="H1992" s="53"/>
    </row>
    <row r="1993" spans="3:8" x14ac:dyDescent="0.15">
      <c r="C1993" s="53"/>
      <c r="D1993" s="50"/>
      <c r="E1993" s="51"/>
      <c r="F1993" s="52"/>
      <c r="G1993" s="53"/>
      <c r="H1993" s="53"/>
    </row>
    <row r="1994" spans="3:8" x14ac:dyDescent="0.15">
      <c r="C1994" s="53"/>
      <c r="D1994" s="50"/>
      <c r="E1994" s="51"/>
      <c r="F1994" s="52"/>
      <c r="G1994" s="53"/>
      <c r="H1994" s="53"/>
    </row>
    <row r="1995" spans="3:8" x14ac:dyDescent="0.15">
      <c r="C1995" s="53"/>
      <c r="D1995" s="50"/>
      <c r="E1995" s="51"/>
      <c r="F1995" s="52"/>
      <c r="G1995" s="53"/>
      <c r="H1995" s="53"/>
    </row>
    <row r="1996" spans="3:8" x14ac:dyDescent="0.15">
      <c r="C1996" s="53"/>
      <c r="D1996" s="50"/>
      <c r="E1996" s="51"/>
      <c r="F1996" s="52"/>
      <c r="G1996" s="53"/>
      <c r="H1996" s="53"/>
    </row>
    <row r="1997" spans="3:8" x14ac:dyDescent="0.15">
      <c r="C1997" s="53"/>
      <c r="D1997" s="50"/>
      <c r="E1997" s="51"/>
      <c r="F1997" s="52"/>
      <c r="G1997" s="53"/>
      <c r="H1997" s="53"/>
    </row>
    <row r="1998" spans="3:8" x14ac:dyDescent="0.15">
      <c r="C1998" s="53"/>
      <c r="D1998" s="50"/>
      <c r="E1998" s="51"/>
      <c r="F1998" s="52"/>
      <c r="G1998" s="53"/>
      <c r="H1998" s="53"/>
    </row>
    <row r="1999" spans="3:8" x14ac:dyDescent="0.15">
      <c r="C1999" s="53"/>
      <c r="D1999" s="50"/>
      <c r="E1999" s="51"/>
      <c r="F1999" s="52"/>
      <c r="G1999" s="53"/>
      <c r="H1999" s="53"/>
    </row>
    <row r="2000" spans="3:8" x14ac:dyDescent="0.15">
      <c r="C2000" s="53"/>
      <c r="D2000" s="50"/>
      <c r="E2000" s="51"/>
      <c r="F2000" s="52"/>
      <c r="G2000" s="53"/>
      <c r="H2000" s="53"/>
    </row>
    <row r="2001" spans="3:8" x14ac:dyDescent="0.15">
      <c r="C2001" s="53"/>
      <c r="D2001" s="50"/>
      <c r="E2001" s="51"/>
      <c r="F2001" s="52"/>
      <c r="G2001" s="53"/>
      <c r="H2001" s="53"/>
    </row>
    <row r="2002" spans="3:8" x14ac:dyDescent="0.15">
      <c r="C2002" s="53"/>
      <c r="D2002" s="50"/>
      <c r="E2002" s="51"/>
      <c r="F2002" s="52"/>
      <c r="G2002" s="53"/>
      <c r="H2002" s="53"/>
    </row>
    <row r="2003" spans="3:8" x14ac:dyDescent="0.15">
      <c r="C2003" s="53"/>
      <c r="D2003" s="50"/>
      <c r="E2003" s="51"/>
      <c r="F2003" s="52"/>
      <c r="G2003" s="53"/>
      <c r="H2003" s="53"/>
    </row>
    <row r="2004" spans="3:8" x14ac:dyDescent="0.15">
      <c r="C2004" s="53"/>
      <c r="D2004" s="50"/>
      <c r="E2004" s="51"/>
      <c r="F2004" s="52"/>
      <c r="G2004" s="53"/>
      <c r="H2004" s="53"/>
    </row>
    <row r="2005" spans="3:8" x14ac:dyDescent="0.15">
      <c r="C2005" s="53"/>
      <c r="D2005" s="50"/>
      <c r="E2005" s="51"/>
      <c r="F2005" s="52"/>
      <c r="G2005" s="53"/>
      <c r="H2005" s="53"/>
    </row>
    <row r="2006" spans="3:8" x14ac:dyDescent="0.15">
      <c r="C2006" s="53"/>
      <c r="D2006" s="50"/>
      <c r="E2006" s="51"/>
      <c r="F2006" s="52"/>
      <c r="G2006" s="53"/>
      <c r="H2006" s="53"/>
    </row>
    <row r="2007" spans="3:8" x14ac:dyDescent="0.15">
      <c r="C2007" s="53"/>
      <c r="D2007" s="50"/>
      <c r="E2007" s="51"/>
      <c r="F2007" s="52"/>
      <c r="G2007" s="53"/>
      <c r="H2007" s="53"/>
    </row>
    <row r="2008" spans="3:8" x14ac:dyDescent="0.15">
      <c r="C2008" s="53"/>
      <c r="D2008" s="50"/>
      <c r="E2008" s="51"/>
      <c r="F2008" s="52"/>
      <c r="G2008" s="53"/>
      <c r="H2008" s="53"/>
    </row>
    <row r="2009" spans="3:8" x14ac:dyDescent="0.15">
      <c r="C2009" s="53"/>
      <c r="D2009" s="50"/>
      <c r="E2009" s="51"/>
      <c r="F2009" s="52"/>
      <c r="G2009" s="53"/>
      <c r="H2009" s="53"/>
    </row>
    <row r="2010" spans="3:8" x14ac:dyDescent="0.15">
      <c r="C2010" s="53"/>
      <c r="D2010" s="50"/>
      <c r="E2010" s="51"/>
      <c r="F2010" s="52"/>
      <c r="G2010" s="53"/>
      <c r="H2010" s="53"/>
    </row>
    <row r="2011" spans="3:8" x14ac:dyDescent="0.15">
      <c r="C2011" s="53"/>
      <c r="D2011" s="50"/>
      <c r="E2011" s="51"/>
      <c r="F2011" s="52"/>
      <c r="G2011" s="53"/>
      <c r="H2011" s="53"/>
    </row>
    <row r="2012" spans="3:8" x14ac:dyDescent="0.15">
      <c r="C2012" s="53"/>
      <c r="D2012" s="50"/>
      <c r="E2012" s="51"/>
      <c r="F2012" s="52"/>
      <c r="G2012" s="53"/>
      <c r="H2012" s="53"/>
    </row>
    <row r="2013" spans="3:8" x14ac:dyDescent="0.15">
      <c r="C2013" s="53"/>
      <c r="D2013" s="50"/>
      <c r="E2013" s="51"/>
      <c r="F2013" s="52"/>
      <c r="G2013" s="53"/>
      <c r="H2013" s="53"/>
    </row>
    <row r="2014" spans="3:8" x14ac:dyDescent="0.15">
      <c r="C2014" s="53"/>
      <c r="D2014" s="50"/>
      <c r="E2014" s="51"/>
      <c r="F2014" s="52"/>
      <c r="G2014" s="53"/>
      <c r="H2014" s="53"/>
    </row>
    <row r="2015" spans="3:8" x14ac:dyDescent="0.15">
      <c r="C2015" s="53"/>
      <c r="D2015" s="50"/>
      <c r="E2015" s="51"/>
      <c r="F2015" s="52"/>
      <c r="G2015" s="53"/>
      <c r="H2015" s="53"/>
    </row>
    <row r="2016" spans="3:8" x14ac:dyDescent="0.15">
      <c r="C2016" s="53"/>
      <c r="D2016" s="50"/>
      <c r="E2016" s="51"/>
      <c r="F2016" s="52"/>
      <c r="G2016" s="53"/>
      <c r="H2016" s="53"/>
    </row>
    <row r="2017" spans="3:8" x14ac:dyDescent="0.15">
      <c r="C2017" s="53"/>
      <c r="D2017" s="50"/>
      <c r="E2017" s="51"/>
      <c r="F2017" s="52"/>
      <c r="G2017" s="53"/>
      <c r="H2017" s="53"/>
    </row>
    <row r="2018" spans="3:8" x14ac:dyDescent="0.15">
      <c r="C2018" s="53"/>
      <c r="D2018" s="50"/>
      <c r="E2018" s="51"/>
      <c r="F2018" s="52"/>
      <c r="G2018" s="53"/>
      <c r="H2018" s="53"/>
    </row>
    <row r="2019" spans="3:8" x14ac:dyDescent="0.15">
      <c r="C2019" s="53"/>
      <c r="D2019" s="50"/>
      <c r="E2019" s="51"/>
      <c r="F2019" s="52"/>
      <c r="G2019" s="53"/>
      <c r="H2019" s="53"/>
    </row>
    <row r="2020" spans="3:8" x14ac:dyDescent="0.15">
      <c r="C2020" s="53"/>
      <c r="D2020" s="50"/>
      <c r="E2020" s="51"/>
      <c r="F2020" s="52"/>
      <c r="G2020" s="53"/>
      <c r="H2020" s="53"/>
    </row>
    <row r="2021" spans="3:8" x14ac:dyDescent="0.15">
      <c r="C2021" s="53"/>
      <c r="D2021" s="50"/>
      <c r="E2021" s="51"/>
      <c r="F2021" s="52"/>
      <c r="G2021" s="53"/>
      <c r="H2021" s="53"/>
    </row>
    <row r="2022" spans="3:8" x14ac:dyDescent="0.15">
      <c r="C2022" s="53"/>
      <c r="D2022" s="50"/>
      <c r="E2022" s="51"/>
      <c r="F2022" s="52"/>
      <c r="G2022" s="53"/>
      <c r="H2022" s="53"/>
    </row>
    <row r="2023" spans="3:8" x14ac:dyDescent="0.15">
      <c r="C2023" s="53"/>
      <c r="D2023" s="50"/>
      <c r="E2023" s="51"/>
      <c r="F2023" s="52"/>
      <c r="G2023" s="53"/>
      <c r="H2023" s="53"/>
    </row>
    <row r="2024" spans="3:8" x14ac:dyDescent="0.15">
      <c r="C2024" s="53"/>
      <c r="D2024" s="50"/>
      <c r="E2024" s="51"/>
      <c r="F2024" s="52"/>
      <c r="G2024" s="53"/>
      <c r="H2024" s="53"/>
    </row>
    <row r="2025" spans="3:8" x14ac:dyDescent="0.15">
      <c r="C2025" s="53"/>
      <c r="D2025" s="50"/>
      <c r="E2025" s="51"/>
      <c r="F2025" s="52"/>
      <c r="G2025" s="53"/>
      <c r="H2025" s="53"/>
    </row>
    <row r="2026" spans="3:8" x14ac:dyDescent="0.15">
      <c r="C2026" s="53"/>
      <c r="D2026" s="50"/>
      <c r="E2026" s="51"/>
      <c r="F2026" s="52"/>
      <c r="G2026" s="53"/>
      <c r="H2026" s="53"/>
    </row>
    <row r="2027" spans="3:8" x14ac:dyDescent="0.15">
      <c r="C2027" s="53"/>
      <c r="D2027" s="50"/>
      <c r="E2027" s="51"/>
      <c r="F2027" s="52"/>
      <c r="G2027" s="53"/>
      <c r="H2027" s="53"/>
    </row>
    <row r="2028" spans="3:8" x14ac:dyDescent="0.15">
      <c r="C2028" s="53"/>
      <c r="D2028" s="50"/>
      <c r="E2028" s="51"/>
      <c r="F2028" s="52"/>
      <c r="G2028" s="53"/>
      <c r="H2028" s="53"/>
    </row>
    <row r="2029" spans="3:8" x14ac:dyDescent="0.15">
      <c r="C2029" s="53"/>
      <c r="D2029" s="50"/>
      <c r="E2029" s="51"/>
      <c r="F2029" s="52"/>
      <c r="G2029" s="53"/>
      <c r="H2029" s="53"/>
    </row>
    <row r="2030" spans="3:8" x14ac:dyDescent="0.15">
      <c r="C2030" s="53"/>
      <c r="D2030" s="50"/>
      <c r="E2030" s="51"/>
      <c r="F2030" s="52"/>
      <c r="G2030" s="53"/>
      <c r="H2030" s="53"/>
    </row>
    <row r="2031" spans="3:8" x14ac:dyDescent="0.15">
      <c r="C2031" s="53"/>
      <c r="D2031" s="50"/>
      <c r="E2031" s="51"/>
      <c r="F2031" s="52"/>
      <c r="G2031" s="53"/>
      <c r="H2031" s="53"/>
    </row>
    <row r="2032" spans="3:8" x14ac:dyDescent="0.15">
      <c r="C2032" s="53"/>
      <c r="D2032" s="50"/>
      <c r="E2032" s="51"/>
      <c r="F2032" s="52"/>
      <c r="G2032" s="53"/>
      <c r="H2032" s="53"/>
    </row>
    <row r="2033" spans="3:8" x14ac:dyDescent="0.15">
      <c r="C2033" s="53"/>
      <c r="D2033" s="50"/>
      <c r="E2033" s="51"/>
      <c r="F2033" s="52"/>
      <c r="G2033" s="53"/>
      <c r="H2033" s="53"/>
    </row>
    <row r="2034" spans="3:8" x14ac:dyDescent="0.15">
      <c r="C2034" s="53"/>
      <c r="D2034" s="50"/>
      <c r="E2034" s="51"/>
      <c r="F2034" s="52"/>
      <c r="G2034" s="53"/>
      <c r="H2034" s="53"/>
    </row>
    <row r="2035" spans="3:8" x14ac:dyDescent="0.15">
      <c r="C2035" s="53"/>
      <c r="D2035" s="50"/>
      <c r="E2035" s="51"/>
      <c r="F2035" s="52"/>
      <c r="G2035" s="53"/>
      <c r="H2035" s="53"/>
    </row>
    <row r="2036" spans="3:8" x14ac:dyDescent="0.15">
      <c r="C2036" s="53"/>
      <c r="D2036" s="50"/>
      <c r="E2036" s="51"/>
      <c r="F2036" s="52"/>
      <c r="G2036" s="53"/>
      <c r="H2036" s="53"/>
    </row>
    <row r="2037" spans="3:8" x14ac:dyDescent="0.15">
      <c r="C2037" s="53"/>
      <c r="D2037" s="50"/>
      <c r="E2037" s="51"/>
      <c r="F2037" s="52"/>
      <c r="G2037" s="53"/>
      <c r="H2037" s="53"/>
    </row>
    <row r="2038" spans="3:8" x14ac:dyDescent="0.15">
      <c r="C2038" s="53"/>
      <c r="D2038" s="50"/>
      <c r="E2038" s="51"/>
      <c r="F2038" s="52"/>
      <c r="G2038" s="53"/>
      <c r="H2038" s="53"/>
    </row>
    <row r="2039" spans="3:8" x14ac:dyDescent="0.15">
      <c r="C2039" s="53"/>
      <c r="D2039" s="50"/>
      <c r="E2039" s="51"/>
      <c r="F2039" s="52"/>
      <c r="G2039" s="53"/>
      <c r="H2039" s="53"/>
    </row>
    <row r="2040" spans="3:8" x14ac:dyDescent="0.15">
      <c r="C2040" s="53"/>
      <c r="D2040" s="50"/>
      <c r="E2040" s="51"/>
      <c r="F2040" s="52"/>
      <c r="G2040" s="53"/>
      <c r="H2040" s="53"/>
    </row>
    <row r="2041" spans="3:8" x14ac:dyDescent="0.15">
      <c r="C2041" s="53"/>
      <c r="D2041" s="50"/>
      <c r="E2041" s="51"/>
      <c r="F2041" s="52"/>
      <c r="G2041" s="53"/>
      <c r="H2041" s="53"/>
    </row>
    <row r="2042" spans="3:8" x14ac:dyDescent="0.15">
      <c r="C2042" s="53"/>
      <c r="D2042" s="50"/>
      <c r="E2042" s="51"/>
      <c r="F2042" s="52"/>
      <c r="G2042" s="53"/>
      <c r="H2042" s="53"/>
    </row>
    <row r="2043" spans="3:8" x14ac:dyDescent="0.15">
      <c r="C2043" s="53"/>
      <c r="D2043" s="50"/>
      <c r="E2043" s="51"/>
      <c r="F2043" s="52"/>
      <c r="G2043" s="53"/>
      <c r="H2043" s="53"/>
    </row>
    <row r="2044" spans="3:8" x14ac:dyDescent="0.15">
      <c r="C2044" s="53"/>
      <c r="D2044" s="50"/>
      <c r="E2044" s="51"/>
      <c r="F2044" s="52"/>
      <c r="G2044" s="53"/>
      <c r="H2044" s="53"/>
    </row>
    <row r="2045" spans="3:8" x14ac:dyDescent="0.15">
      <c r="C2045" s="53"/>
      <c r="D2045" s="50"/>
      <c r="E2045" s="51"/>
      <c r="F2045" s="52"/>
      <c r="G2045" s="53"/>
      <c r="H2045" s="53"/>
    </row>
    <row r="2046" spans="3:8" x14ac:dyDescent="0.15">
      <c r="C2046" s="53"/>
      <c r="D2046" s="50"/>
      <c r="E2046" s="51"/>
      <c r="F2046" s="52"/>
      <c r="G2046" s="53"/>
      <c r="H2046" s="53"/>
    </row>
    <row r="2047" spans="3:8" x14ac:dyDescent="0.15">
      <c r="C2047" s="53"/>
      <c r="D2047" s="50"/>
      <c r="E2047" s="51"/>
      <c r="F2047" s="52"/>
      <c r="G2047" s="53"/>
      <c r="H2047" s="53"/>
    </row>
    <row r="2048" spans="3:8" x14ac:dyDescent="0.15">
      <c r="C2048" s="53"/>
      <c r="D2048" s="50"/>
      <c r="E2048" s="51"/>
      <c r="F2048" s="52"/>
      <c r="G2048" s="53"/>
      <c r="H2048" s="53"/>
    </row>
    <row r="2049" spans="3:8" x14ac:dyDescent="0.15">
      <c r="C2049" s="53"/>
      <c r="D2049" s="50"/>
      <c r="E2049" s="51"/>
      <c r="F2049" s="52"/>
      <c r="G2049" s="53"/>
      <c r="H2049" s="53"/>
    </row>
    <row r="2050" spans="3:8" x14ac:dyDescent="0.15">
      <c r="C2050" s="53"/>
      <c r="D2050" s="50"/>
      <c r="E2050" s="51"/>
      <c r="F2050" s="52"/>
      <c r="G2050" s="53"/>
      <c r="H2050" s="53"/>
    </row>
    <row r="2051" spans="3:8" x14ac:dyDescent="0.15">
      <c r="C2051" s="53"/>
      <c r="D2051" s="50"/>
      <c r="E2051" s="51"/>
      <c r="F2051" s="52"/>
      <c r="G2051" s="53"/>
      <c r="H2051" s="53"/>
    </row>
    <row r="2052" spans="3:8" x14ac:dyDescent="0.15">
      <c r="C2052" s="53"/>
      <c r="D2052" s="50"/>
      <c r="E2052" s="51"/>
      <c r="F2052" s="52"/>
      <c r="G2052" s="53"/>
      <c r="H2052" s="53"/>
    </row>
    <row r="2053" spans="3:8" x14ac:dyDescent="0.15">
      <c r="C2053" s="53"/>
      <c r="D2053" s="50"/>
      <c r="E2053" s="51"/>
      <c r="F2053" s="52"/>
      <c r="G2053" s="53"/>
      <c r="H2053" s="53"/>
    </row>
    <row r="2054" spans="3:8" x14ac:dyDescent="0.15">
      <c r="C2054" s="53"/>
      <c r="D2054" s="50"/>
      <c r="E2054" s="51"/>
      <c r="F2054" s="52"/>
      <c r="G2054" s="53"/>
      <c r="H2054" s="53"/>
    </row>
    <row r="2055" spans="3:8" x14ac:dyDescent="0.15">
      <c r="C2055" s="53"/>
      <c r="D2055" s="50"/>
      <c r="E2055" s="51"/>
      <c r="F2055" s="52"/>
      <c r="G2055" s="53"/>
      <c r="H2055" s="53"/>
    </row>
    <row r="2056" spans="3:8" x14ac:dyDescent="0.15">
      <c r="C2056" s="53"/>
      <c r="D2056" s="50"/>
      <c r="E2056" s="51"/>
      <c r="F2056" s="52"/>
      <c r="G2056" s="53"/>
      <c r="H2056" s="53"/>
    </row>
    <row r="2057" spans="3:8" x14ac:dyDescent="0.15">
      <c r="C2057" s="53"/>
      <c r="D2057" s="50"/>
      <c r="E2057" s="51"/>
      <c r="F2057" s="52"/>
      <c r="G2057" s="53"/>
      <c r="H2057" s="53"/>
    </row>
    <row r="2058" spans="3:8" x14ac:dyDescent="0.15">
      <c r="C2058" s="53"/>
      <c r="D2058" s="50"/>
      <c r="E2058" s="51"/>
      <c r="F2058" s="52"/>
      <c r="G2058" s="53"/>
      <c r="H2058" s="53"/>
    </row>
    <row r="2059" spans="3:8" x14ac:dyDescent="0.15">
      <c r="C2059" s="53"/>
      <c r="D2059" s="50"/>
      <c r="E2059" s="51"/>
      <c r="F2059" s="52"/>
      <c r="G2059" s="53"/>
      <c r="H2059" s="53"/>
    </row>
    <row r="2060" spans="3:8" x14ac:dyDescent="0.15">
      <c r="C2060" s="53"/>
      <c r="D2060" s="50"/>
      <c r="E2060" s="51"/>
      <c r="F2060" s="52"/>
      <c r="G2060" s="53"/>
      <c r="H2060" s="53"/>
    </row>
    <row r="2061" spans="3:8" x14ac:dyDescent="0.15">
      <c r="C2061" s="53"/>
      <c r="D2061" s="50"/>
      <c r="E2061" s="51"/>
      <c r="F2061" s="52"/>
      <c r="G2061" s="53"/>
      <c r="H2061" s="53"/>
    </row>
    <row r="2062" spans="3:8" x14ac:dyDescent="0.15">
      <c r="C2062" s="53"/>
      <c r="D2062" s="50"/>
      <c r="E2062" s="51"/>
      <c r="F2062" s="52"/>
      <c r="G2062" s="53"/>
      <c r="H2062" s="53"/>
    </row>
    <row r="2063" spans="3:8" x14ac:dyDescent="0.15">
      <c r="C2063" s="53"/>
      <c r="D2063" s="50"/>
      <c r="E2063" s="51"/>
      <c r="F2063" s="52"/>
      <c r="G2063" s="53"/>
      <c r="H2063" s="53"/>
    </row>
    <row r="2064" spans="3:8" x14ac:dyDescent="0.15">
      <c r="C2064" s="53"/>
      <c r="D2064" s="50"/>
      <c r="E2064" s="51"/>
      <c r="F2064" s="52"/>
      <c r="G2064" s="53"/>
      <c r="H2064" s="53"/>
    </row>
    <row r="2065" spans="3:8" x14ac:dyDescent="0.15">
      <c r="C2065" s="53"/>
      <c r="D2065" s="50"/>
      <c r="E2065" s="51"/>
      <c r="F2065" s="52"/>
      <c r="G2065" s="53"/>
      <c r="H2065" s="53"/>
    </row>
    <row r="2066" spans="3:8" x14ac:dyDescent="0.15">
      <c r="C2066" s="53"/>
      <c r="D2066" s="50"/>
      <c r="E2066" s="51"/>
      <c r="F2066" s="52"/>
      <c r="G2066" s="53"/>
      <c r="H2066" s="53"/>
    </row>
    <row r="2067" spans="3:8" x14ac:dyDescent="0.15">
      <c r="C2067" s="53"/>
      <c r="D2067" s="50"/>
      <c r="E2067" s="51"/>
      <c r="F2067" s="52"/>
      <c r="G2067" s="53"/>
      <c r="H2067" s="53"/>
    </row>
    <row r="2068" spans="3:8" x14ac:dyDescent="0.15">
      <c r="C2068" s="53"/>
      <c r="D2068" s="50"/>
      <c r="E2068" s="51"/>
      <c r="F2068" s="52"/>
      <c r="G2068" s="53"/>
      <c r="H2068" s="53"/>
    </row>
    <row r="2069" spans="3:8" x14ac:dyDescent="0.15">
      <c r="C2069" s="53"/>
      <c r="D2069" s="50"/>
      <c r="E2069" s="51"/>
      <c r="F2069" s="52"/>
      <c r="G2069" s="53"/>
      <c r="H2069" s="53"/>
    </row>
    <row r="2070" spans="3:8" x14ac:dyDescent="0.15">
      <c r="C2070" s="53"/>
      <c r="D2070" s="50"/>
      <c r="E2070" s="51"/>
      <c r="F2070" s="52"/>
      <c r="G2070" s="53"/>
      <c r="H2070" s="53"/>
    </row>
    <row r="2071" spans="3:8" x14ac:dyDescent="0.15">
      <c r="C2071" s="53"/>
      <c r="D2071" s="50"/>
      <c r="E2071" s="51"/>
      <c r="F2071" s="52"/>
      <c r="G2071" s="53"/>
      <c r="H2071" s="53"/>
    </row>
    <row r="2072" spans="3:8" x14ac:dyDescent="0.15">
      <c r="C2072" s="53"/>
      <c r="D2072" s="50"/>
      <c r="E2072" s="51"/>
      <c r="F2072" s="52"/>
      <c r="G2072" s="53"/>
      <c r="H2072" s="53"/>
    </row>
    <row r="2073" spans="3:8" x14ac:dyDescent="0.15">
      <c r="C2073" s="53"/>
      <c r="D2073" s="50"/>
      <c r="E2073" s="51"/>
      <c r="F2073" s="52"/>
      <c r="G2073" s="53"/>
      <c r="H2073" s="53"/>
    </row>
    <row r="2074" spans="3:8" x14ac:dyDescent="0.15">
      <c r="C2074" s="53"/>
      <c r="D2074" s="50"/>
      <c r="E2074" s="51"/>
      <c r="F2074" s="52"/>
      <c r="G2074" s="53"/>
      <c r="H2074" s="53"/>
    </row>
    <row r="2075" spans="3:8" x14ac:dyDescent="0.15">
      <c r="C2075" s="53"/>
      <c r="D2075" s="50"/>
      <c r="E2075" s="51"/>
      <c r="F2075" s="52"/>
      <c r="G2075" s="53"/>
      <c r="H2075" s="53"/>
    </row>
    <row r="2076" spans="3:8" x14ac:dyDescent="0.15">
      <c r="C2076" s="53"/>
      <c r="D2076" s="50"/>
      <c r="E2076" s="51"/>
      <c r="F2076" s="52"/>
      <c r="G2076" s="53"/>
      <c r="H2076" s="53"/>
    </row>
    <row r="2077" spans="3:8" x14ac:dyDescent="0.15">
      <c r="C2077" s="53"/>
      <c r="D2077" s="50"/>
      <c r="E2077" s="51"/>
      <c r="F2077" s="52"/>
      <c r="G2077" s="53"/>
      <c r="H2077" s="53"/>
    </row>
    <row r="2078" spans="3:8" x14ac:dyDescent="0.15">
      <c r="C2078" s="53"/>
      <c r="D2078" s="50"/>
      <c r="E2078" s="51"/>
      <c r="F2078" s="52"/>
      <c r="G2078" s="53"/>
      <c r="H2078" s="53"/>
    </row>
    <row r="2079" spans="3:8" x14ac:dyDescent="0.15">
      <c r="C2079" s="53"/>
      <c r="D2079" s="50"/>
      <c r="E2079" s="51"/>
      <c r="F2079" s="52"/>
      <c r="G2079" s="53"/>
      <c r="H2079" s="53"/>
    </row>
    <row r="2080" spans="3:8" x14ac:dyDescent="0.15">
      <c r="C2080" s="53"/>
      <c r="D2080" s="50"/>
      <c r="E2080" s="51"/>
      <c r="F2080" s="52"/>
      <c r="G2080" s="53"/>
      <c r="H2080" s="53"/>
    </row>
    <row r="2081" spans="3:8" x14ac:dyDescent="0.15">
      <c r="C2081" s="53"/>
      <c r="D2081" s="50"/>
      <c r="E2081" s="51"/>
      <c r="F2081" s="52"/>
      <c r="G2081" s="53"/>
      <c r="H2081" s="53"/>
    </row>
    <row r="2082" spans="3:8" x14ac:dyDescent="0.15">
      <c r="C2082" s="53"/>
      <c r="D2082" s="50"/>
      <c r="E2082" s="51"/>
      <c r="F2082" s="52"/>
      <c r="G2082" s="53"/>
      <c r="H2082" s="53"/>
    </row>
    <row r="2083" spans="3:8" x14ac:dyDescent="0.15">
      <c r="C2083" s="53"/>
      <c r="D2083" s="50"/>
      <c r="E2083" s="51"/>
      <c r="F2083" s="52"/>
      <c r="G2083" s="53"/>
      <c r="H2083" s="53"/>
    </row>
    <row r="2084" spans="3:8" x14ac:dyDescent="0.15">
      <c r="C2084" s="53"/>
      <c r="D2084" s="50"/>
      <c r="E2084" s="51"/>
      <c r="F2084" s="52"/>
      <c r="G2084" s="53"/>
      <c r="H2084" s="53"/>
    </row>
    <row r="2085" spans="3:8" x14ac:dyDescent="0.15">
      <c r="C2085" s="53"/>
      <c r="D2085" s="50"/>
      <c r="E2085" s="51"/>
      <c r="F2085" s="52"/>
      <c r="G2085" s="53"/>
      <c r="H2085" s="53"/>
    </row>
    <row r="2086" spans="3:8" x14ac:dyDescent="0.15">
      <c r="C2086" s="53"/>
      <c r="D2086" s="50"/>
      <c r="E2086" s="51"/>
      <c r="F2086" s="52"/>
      <c r="G2086" s="53"/>
      <c r="H2086" s="53"/>
    </row>
    <row r="2087" spans="3:8" x14ac:dyDescent="0.15">
      <c r="C2087" s="53"/>
      <c r="D2087" s="50"/>
      <c r="E2087" s="51"/>
      <c r="F2087" s="52"/>
      <c r="G2087" s="53"/>
      <c r="H2087" s="53"/>
    </row>
    <row r="2088" spans="3:8" x14ac:dyDescent="0.15">
      <c r="C2088" s="53"/>
      <c r="D2088" s="50"/>
      <c r="E2088" s="51"/>
      <c r="F2088" s="52"/>
      <c r="G2088" s="53"/>
      <c r="H2088" s="53"/>
    </row>
    <row r="2089" spans="3:8" x14ac:dyDescent="0.15">
      <c r="C2089" s="53"/>
      <c r="D2089" s="50"/>
      <c r="E2089" s="51"/>
      <c r="F2089" s="52"/>
      <c r="G2089" s="53"/>
      <c r="H2089" s="53"/>
    </row>
    <row r="2090" spans="3:8" x14ac:dyDescent="0.15">
      <c r="C2090" s="53"/>
      <c r="D2090" s="50"/>
      <c r="E2090" s="51"/>
      <c r="F2090" s="52"/>
      <c r="G2090" s="53"/>
      <c r="H2090" s="53"/>
    </row>
    <row r="2091" spans="3:8" x14ac:dyDescent="0.15">
      <c r="C2091" s="53"/>
      <c r="D2091" s="50"/>
      <c r="E2091" s="51"/>
      <c r="F2091" s="52"/>
      <c r="G2091" s="53"/>
      <c r="H2091" s="53"/>
    </row>
    <row r="2092" spans="3:8" x14ac:dyDescent="0.15">
      <c r="C2092" s="53"/>
      <c r="D2092" s="50"/>
      <c r="E2092" s="51"/>
      <c r="F2092" s="52"/>
      <c r="G2092" s="53"/>
      <c r="H2092" s="53"/>
    </row>
    <row r="2093" spans="3:8" x14ac:dyDescent="0.15">
      <c r="C2093" s="53"/>
      <c r="D2093" s="50"/>
      <c r="E2093" s="51"/>
      <c r="F2093" s="52"/>
      <c r="G2093" s="53"/>
      <c r="H2093" s="53"/>
    </row>
    <row r="2094" spans="3:8" x14ac:dyDescent="0.15">
      <c r="C2094" s="53"/>
      <c r="D2094" s="50"/>
      <c r="E2094" s="51"/>
      <c r="F2094" s="52"/>
      <c r="G2094" s="53"/>
      <c r="H2094" s="53"/>
    </row>
    <row r="2095" spans="3:8" x14ac:dyDescent="0.15">
      <c r="C2095" s="53"/>
      <c r="D2095" s="50"/>
      <c r="E2095" s="51"/>
      <c r="F2095" s="52"/>
      <c r="G2095" s="53"/>
      <c r="H2095" s="53"/>
    </row>
    <row r="2096" spans="3:8" x14ac:dyDescent="0.15">
      <c r="C2096" s="53"/>
      <c r="D2096" s="50"/>
      <c r="E2096" s="51"/>
      <c r="F2096" s="52"/>
      <c r="G2096" s="53"/>
      <c r="H2096" s="53"/>
    </row>
    <row r="2097" spans="3:8" x14ac:dyDescent="0.15">
      <c r="C2097" s="53"/>
      <c r="D2097" s="50"/>
      <c r="E2097" s="51"/>
      <c r="F2097" s="52"/>
      <c r="G2097" s="53"/>
      <c r="H2097" s="53"/>
    </row>
    <row r="2098" spans="3:8" x14ac:dyDescent="0.15">
      <c r="C2098" s="53"/>
      <c r="D2098" s="50"/>
      <c r="E2098" s="51"/>
      <c r="F2098" s="52"/>
      <c r="G2098" s="53"/>
      <c r="H2098" s="53"/>
    </row>
    <row r="2099" spans="3:8" x14ac:dyDescent="0.15">
      <c r="C2099" s="53"/>
      <c r="D2099" s="50"/>
      <c r="E2099" s="51"/>
      <c r="F2099" s="52"/>
      <c r="G2099" s="53"/>
      <c r="H2099" s="53"/>
    </row>
    <row r="2100" spans="3:8" x14ac:dyDescent="0.15">
      <c r="C2100" s="53"/>
      <c r="D2100" s="50"/>
      <c r="E2100" s="51"/>
      <c r="F2100" s="52"/>
      <c r="G2100" s="53"/>
      <c r="H2100" s="53"/>
    </row>
    <row r="2101" spans="3:8" x14ac:dyDescent="0.15">
      <c r="C2101" s="53"/>
      <c r="D2101" s="50"/>
      <c r="E2101" s="51"/>
      <c r="F2101" s="52"/>
      <c r="G2101" s="53"/>
      <c r="H2101" s="53"/>
    </row>
    <row r="2102" spans="3:8" x14ac:dyDescent="0.15">
      <c r="C2102" s="53"/>
      <c r="D2102" s="50"/>
      <c r="E2102" s="51"/>
      <c r="F2102" s="52"/>
      <c r="G2102" s="53"/>
      <c r="H2102" s="53"/>
    </row>
    <row r="2103" spans="3:8" x14ac:dyDescent="0.15">
      <c r="C2103" s="53"/>
      <c r="D2103" s="50"/>
      <c r="E2103" s="51"/>
      <c r="F2103" s="52"/>
      <c r="G2103" s="53"/>
      <c r="H2103" s="53"/>
    </row>
    <row r="2104" spans="3:8" x14ac:dyDescent="0.15">
      <c r="C2104" s="53"/>
      <c r="D2104" s="50"/>
      <c r="E2104" s="51"/>
      <c r="F2104" s="52"/>
      <c r="G2104" s="53"/>
      <c r="H2104" s="53"/>
    </row>
    <row r="2105" spans="3:8" x14ac:dyDescent="0.15">
      <c r="C2105" s="53"/>
      <c r="D2105" s="50"/>
      <c r="E2105" s="51"/>
      <c r="F2105" s="52"/>
      <c r="G2105" s="53"/>
      <c r="H2105" s="53"/>
    </row>
    <row r="2106" spans="3:8" x14ac:dyDescent="0.15">
      <c r="C2106" s="53"/>
      <c r="D2106" s="50"/>
      <c r="E2106" s="51"/>
      <c r="F2106" s="52"/>
      <c r="G2106" s="53"/>
      <c r="H2106" s="53"/>
    </row>
    <row r="2107" spans="3:8" x14ac:dyDescent="0.15">
      <c r="C2107" s="53"/>
      <c r="D2107" s="50"/>
      <c r="E2107" s="51"/>
      <c r="F2107" s="52"/>
      <c r="G2107" s="53"/>
      <c r="H2107" s="53"/>
    </row>
    <row r="2108" spans="3:8" x14ac:dyDescent="0.15">
      <c r="C2108" s="53"/>
      <c r="D2108" s="50"/>
      <c r="E2108" s="51"/>
      <c r="F2108" s="52"/>
      <c r="G2108" s="53"/>
      <c r="H2108" s="53"/>
    </row>
    <row r="2109" spans="3:8" x14ac:dyDescent="0.15">
      <c r="C2109" s="53"/>
      <c r="D2109" s="50"/>
      <c r="E2109" s="51"/>
      <c r="F2109" s="52"/>
      <c r="G2109" s="53"/>
      <c r="H2109" s="53"/>
    </row>
    <row r="2110" spans="3:8" x14ac:dyDescent="0.15">
      <c r="C2110" s="53"/>
      <c r="D2110" s="50"/>
      <c r="E2110" s="51"/>
      <c r="F2110" s="52"/>
      <c r="G2110" s="53"/>
      <c r="H2110" s="53"/>
    </row>
    <row r="2111" spans="3:8" x14ac:dyDescent="0.15">
      <c r="C2111" s="53"/>
      <c r="D2111" s="50"/>
      <c r="E2111" s="51"/>
      <c r="F2111" s="52"/>
      <c r="G2111" s="53"/>
      <c r="H2111" s="53"/>
    </row>
    <row r="2112" spans="3:8" x14ac:dyDescent="0.15">
      <c r="C2112" s="53"/>
      <c r="D2112" s="50"/>
      <c r="E2112" s="51"/>
      <c r="F2112" s="52"/>
      <c r="G2112" s="53"/>
      <c r="H2112" s="53"/>
    </row>
    <row r="2113" spans="3:8" x14ac:dyDescent="0.15">
      <c r="C2113" s="53"/>
      <c r="D2113" s="50"/>
      <c r="E2113" s="51"/>
      <c r="F2113" s="52"/>
      <c r="G2113" s="53"/>
      <c r="H2113" s="53"/>
    </row>
    <row r="2114" spans="3:8" x14ac:dyDescent="0.15">
      <c r="C2114" s="53"/>
      <c r="D2114" s="50"/>
      <c r="E2114" s="51"/>
      <c r="F2114" s="52"/>
      <c r="G2114" s="53"/>
      <c r="H2114" s="53"/>
    </row>
    <row r="2115" spans="3:8" x14ac:dyDescent="0.15">
      <c r="C2115" s="53"/>
      <c r="D2115" s="50"/>
      <c r="E2115" s="51"/>
      <c r="F2115" s="52"/>
      <c r="G2115" s="53"/>
      <c r="H2115" s="53"/>
    </row>
    <row r="2116" spans="3:8" x14ac:dyDescent="0.15">
      <c r="C2116" s="53"/>
      <c r="D2116" s="50"/>
      <c r="E2116" s="51"/>
      <c r="F2116" s="52"/>
      <c r="G2116" s="53"/>
      <c r="H2116" s="53"/>
    </row>
    <row r="2117" spans="3:8" x14ac:dyDescent="0.15">
      <c r="C2117" s="53"/>
      <c r="D2117" s="50"/>
      <c r="E2117" s="51"/>
      <c r="F2117" s="52"/>
      <c r="G2117" s="53"/>
      <c r="H2117" s="53"/>
    </row>
    <row r="2118" spans="3:8" x14ac:dyDescent="0.15">
      <c r="C2118" s="53"/>
      <c r="D2118" s="50"/>
      <c r="E2118" s="51"/>
      <c r="F2118" s="52"/>
      <c r="G2118" s="53"/>
      <c r="H2118" s="53"/>
    </row>
    <row r="2119" spans="3:8" x14ac:dyDescent="0.15">
      <c r="C2119" s="53"/>
      <c r="D2119" s="50"/>
      <c r="E2119" s="51"/>
      <c r="F2119" s="52"/>
      <c r="G2119" s="53"/>
      <c r="H2119" s="53"/>
    </row>
    <row r="2120" spans="3:8" x14ac:dyDescent="0.15">
      <c r="C2120" s="53"/>
      <c r="D2120" s="50"/>
      <c r="E2120" s="51"/>
      <c r="F2120" s="52"/>
      <c r="G2120" s="53"/>
      <c r="H2120" s="53"/>
    </row>
    <row r="2121" spans="3:8" x14ac:dyDescent="0.15">
      <c r="C2121" s="53"/>
      <c r="D2121" s="50"/>
      <c r="E2121" s="51"/>
      <c r="F2121" s="52"/>
      <c r="G2121" s="53"/>
      <c r="H2121" s="53"/>
    </row>
    <row r="2122" spans="3:8" x14ac:dyDescent="0.15">
      <c r="C2122" s="53"/>
      <c r="D2122" s="50"/>
      <c r="E2122" s="51"/>
      <c r="F2122" s="52"/>
      <c r="G2122" s="53"/>
      <c r="H2122" s="53"/>
    </row>
    <row r="2123" spans="3:8" x14ac:dyDescent="0.15">
      <c r="C2123" s="53"/>
      <c r="D2123" s="50"/>
      <c r="E2123" s="51"/>
      <c r="F2123" s="52"/>
      <c r="G2123" s="53"/>
      <c r="H2123" s="53"/>
    </row>
    <row r="2124" spans="3:8" x14ac:dyDescent="0.15">
      <c r="C2124" s="53"/>
      <c r="D2124" s="50"/>
      <c r="E2124" s="51"/>
      <c r="F2124" s="52"/>
      <c r="G2124" s="53"/>
      <c r="H2124" s="53"/>
    </row>
    <row r="2125" spans="3:8" x14ac:dyDescent="0.15">
      <c r="C2125" s="53"/>
      <c r="D2125" s="50"/>
      <c r="E2125" s="51"/>
      <c r="F2125" s="52"/>
      <c r="G2125" s="53"/>
      <c r="H2125" s="53"/>
    </row>
    <row r="2126" spans="3:8" x14ac:dyDescent="0.15">
      <c r="C2126" s="53"/>
      <c r="D2126" s="50"/>
      <c r="E2126" s="51"/>
      <c r="F2126" s="52"/>
      <c r="G2126" s="53"/>
      <c r="H2126" s="53"/>
    </row>
    <row r="2127" spans="3:8" x14ac:dyDescent="0.15">
      <c r="C2127" s="53"/>
      <c r="D2127" s="50"/>
      <c r="E2127" s="51"/>
      <c r="F2127" s="52"/>
      <c r="G2127" s="53"/>
      <c r="H2127" s="53"/>
    </row>
    <row r="2128" spans="3:8" x14ac:dyDescent="0.15">
      <c r="C2128" s="53"/>
      <c r="D2128" s="50"/>
      <c r="E2128" s="51"/>
      <c r="F2128" s="52"/>
      <c r="G2128" s="53"/>
      <c r="H2128" s="53"/>
    </row>
    <row r="2129" spans="3:8" x14ac:dyDescent="0.15">
      <c r="C2129" s="53"/>
      <c r="D2129" s="50"/>
      <c r="E2129" s="51"/>
      <c r="F2129" s="52"/>
      <c r="G2129" s="53"/>
      <c r="H2129" s="53"/>
    </row>
    <row r="2130" spans="3:8" x14ac:dyDescent="0.15">
      <c r="C2130" s="53"/>
      <c r="D2130" s="50"/>
      <c r="E2130" s="51"/>
      <c r="F2130" s="52"/>
      <c r="G2130" s="53"/>
      <c r="H2130" s="53"/>
    </row>
    <row r="2131" spans="3:8" x14ac:dyDescent="0.15">
      <c r="C2131" s="53"/>
      <c r="D2131" s="50"/>
      <c r="E2131" s="51"/>
      <c r="F2131" s="52"/>
      <c r="G2131" s="53"/>
      <c r="H2131" s="53"/>
    </row>
    <row r="2132" spans="3:8" x14ac:dyDescent="0.15">
      <c r="C2132" s="53"/>
      <c r="D2132" s="50"/>
      <c r="E2132" s="51"/>
      <c r="F2132" s="52"/>
      <c r="G2132" s="53"/>
      <c r="H2132" s="53"/>
    </row>
    <row r="2133" spans="3:8" x14ac:dyDescent="0.15">
      <c r="C2133" s="53"/>
      <c r="D2133" s="50"/>
      <c r="E2133" s="51"/>
      <c r="F2133" s="52"/>
      <c r="G2133" s="53"/>
      <c r="H2133" s="53"/>
    </row>
    <row r="2134" spans="3:8" x14ac:dyDescent="0.15">
      <c r="C2134" s="53"/>
      <c r="D2134" s="50"/>
      <c r="E2134" s="51"/>
      <c r="F2134" s="52"/>
      <c r="G2134" s="53"/>
      <c r="H2134" s="53"/>
    </row>
    <row r="2135" spans="3:8" x14ac:dyDescent="0.15">
      <c r="C2135" s="53"/>
      <c r="D2135" s="50"/>
      <c r="E2135" s="51"/>
      <c r="F2135" s="52"/>
      <c r="G2135" s="53"/>
      <c r="H2135" s="53"/>
    </row>
    <row r="2136" spans="3:8" x14ac:dyDescent="0.15">
      <c r="C2136" s="53"/>
      <c r="D2136" s="50"/>
      <c r="E2136" s="51"/>
      <c r="F2136" s="52"/>
      <c r="G2136" s="53"/>
      <c r="H2136" s="53"/>
    </row>
    <row r="2137" spans="3:8" x14ac:dyDescent="0.15">
      <c r="C2137" s="53"/>
      <c r="D2137" s="50"/>
      <c r="E2137" s="51"/>
      <c r="F2137" s="52"/>
      <c r="G2137" s="53"/>
      <c r="H2137" s="53"/>
    </row>
    <row r="2138" spans="3:8" x14ac:dyDescent="0.15">
      <c r="C2138" s="53"/>
      <c r="D2138" s="50"/>
      <c r="E2138" s="51"/>
      <c r="F2138" s="52"/>
      <c r="G2138" s="53"/>
      <c r="H2138" s="53"/>
    </row>
    <row r="2139" spans="3:8" x14ac:dyDescent="0.15">
      <c r="C2139" s="53"/>
      <c r="D2139" s="50"/>
      <c r="E2139" s="51"/>
      <c r="F2139" s="52"/>
      <c r="G2139" s="53"/>
      <c r="H2139" s="53"/>
    </row>
    <row r="2140" spans="3:8" x14ac:dyDescent="0.15">
      <c r="C2140" s="53"/>
      <c r="D2140" s="50"/>
      <c r="E2140" s="51"/>
      <c r="F2140" s="52"/>
      <c r="G2140" s="53"/>
      <c r="H2140" s="53"/>
    </row>
    <row r="2141" spans="3:8" x14ac:dyDescent="0.15">
      <c r="C2141" s="53"/>
      <c r="D2141" s="50"/>
      <c r="E2141" s="51"/>
      <c r="F2141" s="52"/>
      <c r="G2141" s="53"/>
      <c r="H2141" s="53"/>
    </row>
    <row r="2142" spans="3:8" x14ac:dyDescent="0.15">
      <c r="C2142" s="53"/>
      <c r="D2142" s="50"/>
      <c r="E2142" s="51"/>
      <c r="F2142" s="52"/>
      <c r="G2142" s="53"/>
      <c r="H2142" s="53"/>
    </row>
    <row r="2143" spans="3:8" x14ac:dyDescent="0.15">
      <c r="C2143" s="53"/>
      <c r="D2143" s="50"/>
      <c r="E2143" s="51"/>
      <c r="F2143" s="52"/>
      <c r="G2143" s="53"/>
      <c r="H2143" s="53"/>
    </row>
    <row r="2144" spans="3:8" x14ac:dyDescent="0.15">
      <c r="C2144" s="53"/>
      <c r="D2144" s="50"/>
      <c r="E2144" s="51"/>
      <c r="F2144" s="52"/>
      <c r="G2144" s="53"/>
      <c r="H2144" s="53"/>
    </row>
    <row r="2145" spans="3:8" x14ac:dyDescent="0.15">
      <c r="C2145" s="53"/>
      <c r="D2145" s="50"/>
      <c r="E2145" s="51"/>
      <c r="F2145" s="52"/>
      <c r="G2145" s="53"/>
      <c r="H2145" s="53"/>
    </row>
    <row r="2146" spans="3:8" x14ac:dyDescent="0.15">
      <c r="C2146" s="53"/>
      <c r="D2146" s="50"/>
      <c r="E2146" s="51"/>
      <c r="F2146" s="52"/>
      <c r="G2146" s="53"/>
      <c r="H2146" s="53"/>
    </row>
    <row r="2147" spans="3:8" x14ac:dyDescent="0.15">
      <c r="C2147" s="53"/>
      <c r="D2147" s="50"/>
      <c r="E2147" s="51"/>
      <c r="F2147" s="52"/>
      <c r="G2147" s="53"/>
      <c r="H2147" s="53"/>
    </row>
    <row r="2148" spans="3:8" x14ac:dyDescent="0.15">
      <c r="C2148" s="53"/>
      <c r="D2148" s="50"/>
      <c r="E2148" s="51"/>
      <c r="F2148" s="52"/>
      <c r="G2148" s="53"/>
      <c r="H2148" s="53"/>
    </row>
    <row r="2149" spans="3:8" x14ac:dyDescent="0.15">
      <c r="C2149" s="53"/>
      <c r="D2149" s="50"/>
      <c r="E2149" s="51"/>
      <c r="F2149" s="52"/>
      <c r="G2149" s="53"/>
      <c r="H2149" s="53"/>
    </row>
    <row r="2150" spans="3:8" x14ac:dyDescent="0.15">
      <c r="C2150" s="53"/>
      <c r="D2150" s="50"/>
      <c r="E2150" s="51"/>
      <c r="F2150" s="52"/>
      <c r="G2150" s="53"/>
      <c r="H2150" s="53"/>
    </row>
    <row r="2151" spans="3:8" x14ac:dyDescent="0.15">
      <c r="C2151" s="53"/>
      <c r="D2151" s="50"/>
      <c r="E2151" s="51"/>
      <c r="F2151" s="52"/>
      <c r="G2151" s="53"/>
      <c r="H2151" s="53"/>
    </row>
    <row r="2152" spans="3:8" x14ac:dyDescent="0.15">
      <c r="C2152" s="53"/>
      <c r="D2152" s="50"/>
      <c r="E2152" s="51"/>
      <c r="F2152" s="52"/>
      <c r="G2152" s="53"/>
      <c r="H2152" s="53"/>
    </row>
    <row r="2153" spans="3:8" x14ac:dyDescent="0.15">
      <c r="C2153" s="53"/>
      <c r="D2153" s="50"/>
      <c r="E2153" s="51"/>
      <c r="F2153" s="52"/>
      <c r="G2153" s="53"/>
      <c r="H2153" s="53"/>
    </row>
    <row r="2154" spans="3:8" x14ac:dyDescent="0.15">
      <c r="C2154" s="53"/>
      <c r="D2154" s="50"/>
      <c r="E2154" s="51"/>
      <c r="F2154" s="52"/>
      <c r="G2154" s="53"/>
      <c r="H2154" s="53"/>
    </row>
    <row r="2155" spans="3:8" x14ac:dyDescent="0.15">
      <c r="C2155" s="53"/>
      <c r="D2155" s="50"/>
      <c r="E2155" s="51"/>
      <c r="F2155" s="52"/>
      <c r="G2155" s="53"/>
      <c r="H2155" s="53"/>
    </row>
    <row r="2156" spans="3:8" x14ac:dyDescent="0.15">
      <c r="C2156" s="53"/>
      <c r="D2156" s="50"/>
      <c r="E2156" s="51"/>
      <c r="F2156" s="52"/>
      <c r="G2156" s="53"/>
      <c r="H2156" s="53"/>
    </row>
    <row r="2157" spans="3:8" x14ac:dyDescent="0.15">
      <c r="C2157" s="53"/>
      <c r="D2157" s="50"/>
      <c r="E2157" s="51"/>
      <c r="F2157" s="52"/>
      <c r="G2157" s="53"/>
      <c r="H2157" s="53"/>
    </row>
    <row r="2158" spans="3:8" x14ac:dyDescent="0.15">
      <c r="C2158" s="53"/>
      <c r="D2158" s="50"/>
      <c r="E2158" s="51"/>
      <c r="F2158" s="52"/>
      <c r="G2158" s="53"/>
      <c r="H2158" s="53"/>
    </row>
    <row r="2159" spans="3:8" x14ac:dyDescent="0.15">
      <c r="C2159" s="53"/>
      <c r="D2159" s="50"/>
      <c r="E2159" s="51"/>
      <c r="F2159" s="52"/>
      <c r="G2159" s="53"/>
      <c r="H2159" s="53"/>
    </row>
    <row r="2160" spans="3:8" x14ac:dyDescent="0.15">
      <c r="C2160" s="53"/>
      <c r="D2160" s="50"/>
      <c r="E2160" s="51"/>
      <c r="F2160" s="52"/>
      <c r="G2160" s="53"/>
      <c r="H2160" s="53"/>
    </row>
    <row r="2161" spans="3:8" x14ac:dyDescent="0.15">
      <c r="C2161" s="53"/>
      <c r="D2161" s="50"/>
      <c r="E2161" s="51"/>
      <c r="F2161" s="52"/>
      <c r="G2161" s="53"/>
      <c r="H2161" s="53"/>
    </row>
    <row r="2162" spans="3:8" x14ac:dyDescent="0.15">
      <c r="C2162" s="53"/>
      <c r="D2162" s="50"/>
      <c r="E2162" s="51"/>
      <c r="F2162" s="52"/>
      <c r="G2162" s="53"/>
      <c r="H2162" s="53"/>
    </row>
    <row r="2163" spans="3:8" x14ac:dyDescent="0.15">
      <c r="C2163" s="53"/>
      <c r="D2163" s="50"/>
      <c r="E2163" s="51"/>
      <c r="F2163" s="52"/>
      <c r="G2163" s="53"/>
      <c r="H2163" s="53"/>
    </row>
    <row r="2164" spans="3:8" x14ac:dyDescent="0.15">
      <c r="C2164" s="53"/>
      <c r="D2164" s="50"/>
      <c r="E2164" s="51"/>
      <c r="F2164" s="52"/>
      <c r="G2164" s="53"/>
      <c r="H2164" s="53"/>
    </row>
    <row r="2165" spans="3:8" x14ac:dyDescent="0.15">
      <c r="C2165" s="53"/>
      <c r="D2165" s="50"/>
      <c r="E2165" s="51"/>
      <c r="F2165" s="52"/>
      <c r="G2165" s="53"/>
      <c r="H2165" s="53"/>
    </row>
    <row r="2166" spans="3:8" x14ac:dyDescent="0.15">
      <c r="C2166" s="53"/>
      <c r="D2166" s="50"/>
      <c r="E2166" s="51"/>
      <c r="F2166" s="52"/>
      <c r="G2166" s="53"/>
      <c r="H2166" s="53"/>
    </row>
    <row r="2167" spans="3:8" x14ac:dyDescent="0.15">
      <c r="C2167" s="53"/>
      <c r="D2167" s="50"/>
      <c r="E2167" s="51"/>
      <c r="F2167" s="52"/>
      <c r="G2167" s="53"/>
      <c r="H2167" s="53"/>
    </row>
    <row r="2168" spans="3:8" x14ac:dyDescent="0.15">
      <c r="C2168" s="53"/>
      <c r="D2168" s="50"/>
      <c r="E2168" s="51"/>
      <c r="F2168" s="52"/>
      <c r="G2168" s="53"/>
      <c r="H2168" s="53"/>
    </row>
    <row r="2169" spans="3:8" x14ac:dyDescent="0.15">
      <c r="C2169" s="53"/>
      <c r="D2169" s="50"/>
      <c r="E2169" s="51"/>
      <c r="F2169" s="52"/>
      <c r="G2169" s="53"/>
      <c r="H2169" s="53"/>
    </row>
    <row r="2170" spans="3:8" x14ac:dyDescent="0.15">
      <c r="C2170" s="53"/>
      <c r="D2170" s="50"/>
      <c r="E2170" s="51"/>
      <c r="F2170" s="52"/>
      <c r="G2170" s="53"/>
      <c r="H2170" s="53"/>
    </row>
    <row r="2171" spans="3:8" x14ac:dyDescent="0.15">
      <c r="C2171" s="53"/>
      <c r="D2171" s="50"/>
      <c r="E2171" s="51"/>
      <c r="F2171" s="52"/>
      <c r="G2171" s="53"/>
      <c r="H2171" s="53"/>
    </row>
    <row r="2172" spans="3:8" x14ac:dyDescent="0.15">
      <c r="C2172" s="53"/>
      <c r="D2172" s="50"/>
      <c r="E2172" s="51"/>
      <c r="F2172" s="52"/>
      <c r="G2172" s="53"/>
      <c r="H2172" s="53"/>
    </row>
    <row r="2173" spans="3:8" x14ac:dyDescent="0.15">
      <c r="C2173" s="53"/>
      <c r="D2173" s="50"/>
      <c r="E2173" s="51"/>
      <c r="F2173" s="52"/>
      <c r="G2173" s="53"/>
      <c r="H2173" s="53"/>
    </row>
    <row r="2174" spans="3:8" x14ac:dyDescent="0.15">
      <c r="C2174" s="53"/>
      <c r="D2174" s="50"/>
      <c r="E2174" s="51"/>
      <c r="F2174" s="52"/>
      <c r="G2174" s="53"/>
      <c r="H2174" s="53"/>
    </row>
    <row r="2175" spans="3:8" x14ac:dyDescent="0.15">
      <c r="C2175" s="53"/>
      <c r="D2175" s="50"/>
      <c r="E2175" s="51"/>
      <c r="F2175" s="52"/>
      <c r="G2175" s="53"/>
      <c r="H2175" s="53"/>
    </row>
    <row r="2176" spans="3:8" x14ac:dyDescent="0.15">
      <c r="C2176" s="53"/>
      <c r="D2176" s="50"/>
      <c r="E2176" s="51"/>
      <c r="F2176" s="52"/>
      <c r="G2176" s="53"/>
      <c r="H2176" s="53"/>
    </row>
    <row r="2177" spans="3:8" x14ac:dyDescent="0.15">
      <c r="C2177" s="53"/>
      <c r="D2177" s="50"/>
      <c r="E2177" s="51"/>
      <c r="F2177" s="52"/>
      <c r="G2177" s="53"/>
      <c r="H2177" s="53"/>
    </row>
    <row r="2178" spans="3:8" x14ac:dyDescent="0.15">
      <c r="C2178" s="53"/>
      <c r="D2178" s="50"/>
      <c r="E2178" s="51"/>
      <c r="F2178" s="52"/>
      <c r="G2178" s="53"/>
      <c r="H2178" s="53"/>
    </row>
    <row r="2179" spans="3:8" x14ac:dyDescent="0.15">
      <c r="C2179" s="53"/>
      <c r="D2179" s="50"/>
      <c r="E2179" s="51"/>
      <c r="F2179" s="52"/>
      <c r="G2179" s="53"/>
      <c r="H2179" s="53"/>
    </row>
    <row r="2180" spans="3:8" x14ac:dyDescent="0.15">
      <c r="C2180" s="53"/>
      <c r="D2180" s="50"/>
      <c r="E2180" s="51"/>
      <c r="F2180" s="52"/>
      <c r="G2180" s="53"/>
      <c r="H2180" s="53"/>
    </row>
    <row r="2181" spans="3:8" x14ac:dyDescent="0.15">
      <c r="C2181" s="53"/>
      <c r="D2181" s="50"/>
      <c r="E2181" s="51"/>
      <c r="F2181" s="52"/>
      <c r="G2181" s="53"/>
      <c r="H2181" s="53"/>
    </row>
    <row r="2182" spans="3:8" x14ac:dyDescent="0.15">
      <c r="C2182" s="53"/>
      <c r="D2182" s="50"/>
      <c r="E2182" s="51"/>
      <c r="F2182" s="52"/>
      <c r="G2182" s="53"/>
      <c r="H2182" s="53"/>
    </row>
    <row r="2183" spans="3:8" x14ac:dyDescent="0.15">
      <c r="C2183" s="53"/>
      <c r="D2183" s="50"/>
      <c r="E2183" s="51"/>
      <c r="F2183" s="52"/>
      <c r="G2183" s="53"/>
      <c r="H2183" s="53"/>
    </row>
    <row r="2184" spans="3:8" x14ac:dyDescent="0.15">
      <c r="C2184" s="53"/>
      <c r="D2184" s="50"/>
      <c r="E2184" s="51"/>
      <c r="F2184" s="52"/>
      <c r="G2184" s="53"/>
      <c r="H2184" s="53"/>
    </row>
    <row r="2185" spans="3:8" x14ac:dyDescent="0.15">
      <c r="C2185" s="53"/>
      <c r="D2185" s="50"/>
      <c r="E2185" s="51"/>
      <c r="F2185" s="52"/>
      <c r="G2185" s="53"/>
      <c r="H2185" s="53"/>
    </row>
    <row r="2186" spans="3:8" x14ac:dyDescent="0.15">
      <c r="C2186" s="53"/>
      <c r="D2186" s="50"/>
      <c r="E2186" s="51"/>
      <c r="F2186" s="52"/>
      <c r="G2186" s="53"/>
      <c r="H2186" s="53"/>
    </row>
    <row r="2187" spans="3:8" x14ac:dyDescent="0.15">
      <c r="C2187" s="53"/>
      <c r="D2187" s="50"/>
      <c r="E2187" s="51"/>
      <c r="F2187" s="52"/>
      <c r="G2187" s="53"/>
      <c r="H2187" s="53"/>
    </row>
    <row r="2188" spans="3:8" x14ac:dyDescent="0.15">
      <c r="C2188" s="53"/>
      <c r="D2188" s="50"/>
      <c r="E2188" s="51"/>
      <c r="F2188" s="52"/>
      <c r="G2188" s="53"/>
      <c r="H2188" s="53"/>
    </row>
    <row r="2189" spans="3:8" x14ac:dyDescent="0.15">
      <c r="C2189" s="53"/>
      <c r="D2189" s="50"/>
      <c r="E2189" s="51"/>
      <c r="F2189" s="52"/>
      <c r="G2189" s="53"/>
      <c r="H2189" s="53"/>
    </row>
    <row r="2190" spans="3:8" x14ac:dyDescent="0.15">
      <c r="C2190" s="53"/>
      <c r="D2190" s="50"/>
      <c r="E2190" s="51"/>
      <c r="F2190" s="52"/>
      <c r="G2190" s="53"/>
      <c r="H2190" s="53"/>
    </row>
    <row r="2191" spans="3:8" x14ac:dyDescent="0.15">
      <c r="C2191" s="53"/>
      <c r="D2191" s="50"/>
      <c r="E2191" s="51"/>
      <c r="F2191" s="52"/>
      <c r="G2191" s="53"/>
      <c r="H2191" s="53"/>
    </row>
    <row r="2192" spans="3:8" x14ac:dyDescent="0.15">
      <c r="C2192" s="53"/>
      <c r="D2192" s="50"/>
      <c r="E2192" s="51"/>
      <c r="F2192" s="52"/>
      <c r="G2192" s="53"/>
      <c r="H2192" s="53"/>
    </row>
    <row r="2193" spans="3:8" x14ac:dyDescent="0.15">
      <c r="C2193" s="53"/>
      <c r="D2193" s="50"/>
      <c r="E2193" s="51"/>
      <c r="F2193" s="52"/>
      <c r="G2193" s="53"/>
      <c r="H2193" s="53"/>
    </row>
    <row r="2194" spans="3:8" x14ac:dyDescent="0.15">
      <c r="C2194" s="53"/>
      <c r="D2194" s="50"/>
      <c r="E2194" s="51"/>
      <c r="F2194" s="52"/>
      <c r="G2194" s="53"/>
      <c r="H2194" s="53"/>
    </row>
    <row r="2195" spans="3:8" x14ac:dyDescent="0.15">
      <c r="C2195" s="53"/>
      <c r="D2195" s="50"/>
      <c r="E2195" s="51"/>
      <c r="F2195" s="52"/>
      <c r="G2195" s="53"/>
      <c r="H2195" s="53"/>
    </row>
    <row r="2196" spans="3:8" x14ac:dyDescent="0.15">
      <c r="C2196" s="53"/>
      <c r="D2196" s="50"/>
      <c r="E2196" s="51"/>
      <c r="F2196" s="52"/>
      <c r="G2196" s="53"/>
      <c r="H2196" s="53"/>
    </row>
    <row r="2197" spans="3:8" x14ac:dyDescent="0.15">
      <c r="C2197" s="53"/>
      <c r="D2197" s="50"/>
      <c r="E2197" s="51"/>
      <c r="F2197" s="52"/>
      <c r="G2197" s="53"/>
      <c r="H2197" s="53"/>
    </row>
    <row r="2198" spans="3:8" x14ac:dyDescent="0.15">
      <c r="C2198" s="53"/>
      <c r="D2198" s="50"/>
      <c r="E2198" s="51"/>
      <c r="F2198" s="52"/>
      <c r="G2198" s="53"/>
      <c r="H2198" s="53"/>
    </row>
    <row r="2199" spans="3:8" x14ac:dyDescent="0.15">
      <c r="C2199" s="53"/>
      <c r="D2199" s="50"/>
      <c r="E2199" s="51"/>
      <c r="F2199" s="52"/>
      <c r="G2199" s="53"/>
      <c r="H2199" s="53"/>
    </row>
    <row r="2200" spans="3:8" x14ac:dyDescent="0.15">
      <c r="C2200" s="53"/>
      <c r="D2200" s="50"/>
      <c r="E2200" s="51"/>
      <c r="F2200" s="52"/>
      <c r="G2200" s="53"/>
      <c r="H2200" s="53"/>
    </row>
    <row r="2201" spans="3:8" x14ac:dyDescent="0.15">
      <c r="C2201" s="53"/>
      <c r="D2201" s="50"/>
      <c r="E2201" s="51"/>
      <c r="F2201" s="52"/>
      <c r="G2201" s="53"/>
      <c r="H2201" s="53"/>
    </row>
    <row r="2202" spans="3:8" x14ac:dyDescent="0.15">
      <c r="C2202" s="53"/>
      <c r="D2202" s="50"/>
      <c r="E2202" s="51"/>
      <c r="F2202" s="52"/>
      <c r="G2202" s="53"/>
      <c r="H2202" s="53"/>
    </row>
    <row r="2203" spans="3:8" x14ac:dyDescent="0.15">
      <c r="C2203" s="53"/>
      <c r="D2203" s="50"/>
      <c r="E2203" s="51"/>
      <c r="F2203" s="52"/>
      <c r="G2203" s="53"/>
      <c r="H2203" s="53"/>
    </row>
    <row r="2204" spans="3:8" x14ac:dyDescent="0.15">
      <c r="C2204" s="53"/>
      <c r="D2204" s="50"/>
      <c r="E2204" s="51"/>
      <c r="F2204" s="52"/>
      <c r="G2204" s="53"/>
      <c r="H2204" s="53"/>
    </row>
    <row r="2205" spans="3:8" x14ac:dyDescent="0.15">
      <c r="C2205" s="53"/>
      <c r="D2205" s="50"/>
      <c r="E2205" s="51"/>
      <c r="F2205" s="52"/>
      <c r="G2205" s="53"/>
      <c r="H2205" s="53"/>
    </row>
    <row r="2206" spans="3:8" x14ac:dyDescent="0.15">
      <c r="C2206" s="53"/>
      <c r="D2206" s="50"/>
      <c r="E2206" s="51"/>
      <c r="F2206" s="52"/>
      <c r="G2206" s="53"/>
      <c r="H2206" s="53"/>
    </row>
    <row r="2207" spans="3:8" x14ac:dyDescent="0.15">
      <c r="C2207" s="53"/>
      <c r="D2207" s="50"/>
      <c r="E2207" s="51"/>
      <c r="F2207" s="52"/>
      <c r="G2207" s="53"/>
      <c r="H2207" s="53"/>
    </row>
    <row r="2208" spans="3:8" x14ac:dyDescent="0.15">
      <c r="C2208" s="53"/>
      <c r="D2208" s="50"/>
      <c r="E2208" s="51"/>
      <c r="F2208" s="52"/>
      <c r="G2208" s="53"/>
      <c r="H2208" s="53"/>
    </row>
    <row r="2209" spans="3:8" x14ac:dyDescent="0.15">
      <c r="C2209" s="53"/>
      <c r="D2209" s="50"/>
      <c r="E2209" s="51"/>
      <c r="F2209" s="52"/>
      <c r="G2209" s="53"/>
      <c r="H2209" s="53"/>
    </row>
    <row r="2210" spans="3:8" x14ac:dyDescent="0.15">
      <c r="C2210" s="53"/>
      <c r="D2210" s="50"/>
      <c r="E2210" s="51"/>
      <c r="F2210" s="52"/>
      <c r="G2210" s="53"/>
      <c r="H2210" s="53"/>
    </row>
    <row r="2211" spans="3:8" x14ac:dyDescent="0.15">
      <c r="C2211" s="53"/>
      <c r="D2211" s="50"/>
      <c r="E2211" s="51"/>
      <c r="F2211" s="52"/>
      <c r="G2211" s="53"/>
      <c r="H2211" s="53"/>
    </row>
    <row r="2212" spans="3:8" x14ac:dyDescent="0.15">
      <c r="C2212" s="53"/>
      <c r="D2212" s="50"/>
      <c r="E2212" s="51"/>
      <c r="F2212" s="52"/>
      <c r="G2212" s="53"/>
      <c r="H2212" s="53"/>
    </row>
    <row r="2213" spans="3:8" x14ac:dyDescent="0.15">
      <c r="C2213" s="53"/>
      <c r="D2213" s="50"/>
      <c r="E2213" s="51"/>
      <c r="F2213" s="52"/>
      <c r="G2213" s="53"/>
      <c r="H2213" s="53"/>
    </row>
    <row r="2214" spans="3:8" x14ac:dyDescent="0.15">
      <c r="C2214" s="53"/>
      <c r="D2214" s="50"/>
      <c r="E2214" s="51"/>
      <c r="F2214" s="52"/>
      <c r="G2214" s="53"/>
      <c r="H2214" s="53"/>
    </row>
    <row r="2215" spans="3:8" x14ac:dyDescent="0.15">
      <c r="C2215" s="53"/>
      <c r="D2215" s="50"/>
      <c r="E2215" s="51"/>
      <c r="F2215" s="52"/>
      <c r="G2215" s="53"/>
      <c r="H2215" s="53"/>
    </row>
    <row r="2216" spans="3:8" x14ac:dyDescent="0.15">
      <c r="C2216" s="53"/>
      <c r="D2216" s="50"/>
      <c r="E2216" s="51"/>
      <c r="F2216" s="52"/>
      <c r="G2216" s="53"/>
      <c r="H2216" s="53"/>
    </row>
    <row r="2217" spans="3:8" x14ac:dyDescent="0.15">
      <c r="C2217" s="53"/>
      <c r="D2217" s="50"/>
      <c r="E2217" s="51"/>
      <c r="F2217" s="52"/>
      <c r="G2217" s="53"/>
      <c r="H2217" s="53"/>
    </row>
    <row r="2218" spans="3:8" x14ac:dyDescent="0.15">
      <c r="C2218" s="53"/>
      <c r="D2218" s="50"/>
      <c r="E2218" s="51"/>
      <c r="F2218" s="52"/>
      <c r="G2218" s="53"/>
      <c r="H2218" s="53"/>
    </row>
    <row r="2219" spans="3:8" x14ac:dyDescent="0.15">
      <c r="C2219" s="53"/>
      <c r="D2219" s="50"/>
      <c r="E2219" s="51"/>
      <c r="F2219" s="52"/>
      <c r="G2219" s="53"/>
      <c r="H2219" s="53"/>
    </row>
    <row r="2220" spans="3:8" x14ac:dyDescent="0.15">
      <c r="C2220" s="53"/>
      <c r="D2220" s="50"/>
      <c r="E2220" s="51"/>
      <c r="F2220" s="52"/>
      <c r="G2220" s="53"/>
      <c r="H2220" s="53"/>
    </row>
    <row r="2221" spans="3:8" x14ac:dyDescent="0.15">
      <c r="C2221" s="53"/>
      <c r="D2221" s="50"/>
      <c r="E2221" s="51"/>
      <c r="F2221" s="52"/>
      <c r="G2221" s="53"/>
      <c r="H2221" s="53"/>
    </row>
    <row r="2222" spans="3:8" x14ac:dyDescent="0.15">
      <c r="C2222" s="53"/>
      <c r="D2222" s="50"/>
      <c r="E2222" s="51"/>
      <c r="F2222" s="52"/>
      <c r="G2222" s="53"/>
      <c r="H2222" s="53"/>
    </row>
    <row r="2223" spans="3:8" x14ac:dyDescent="0.15">
      <c r="C2223" s="53"/>
      <c r="D2223" s="50"/>
      <c r="E2223" s="51"/>
      <c r="F2223" s="52"/>
      <c r="G2223" s="53"/>
      <c r="H2223" s="53"/>
    </row>
    <row r="2224" spans="3:8" x14ac:dyDescent="0.15">
      <c r="C2224" s="53"/>
      <c r="D2224" s="50"/>
      <c r="E2224" s="51"/>
      <c r="F2224" s="52"/>
      <c r="G2224" s="53"/>
      <c r="H2224" s="53"/>
    </row>
    <row r="2225" spans="3:8" x14ac:dyDescent="0.15">
      <c r="C2225" s="53"/>
      <c r="D2225" s="50"/>
      <c r="E2225" s="51"/>
      <c r="F2225" s="52"/>
      <c r="G2225" s="53"/>
      <c r="H2225" s="53"/>
    </row>
    <row r="2226" spans="3:8" x14ac:dyDescent="0.15">
      <c r="C2226" s="53"/>
      <c r="D2226" s="50"/>
      <c r="E2226" s="51"/>
      <c r="F2226" s="52"/>
      <c r="G2226" s="53"/>
      <c r="H2226" s="53"/>
    </row>
    <row r="2227" spans="3:8" x14ac:dyDescent="0.15">
      <c r="C2227" s="53"/>
      <c r="D2227" s="50"/>
      <c r="E2227" s="51"/>
      <c r="F2227" s="52"/>
      <c r="G2227" s="53"/>
      <c r="H2227" s="53"/>
    </row>
    <row r="2228" spans="3:8" x14ac:dyDescent="0.15">
      <c r="C2228" s="53"/>
      <c r="D2228" s="50"/>
      <c r="E2228" s="51"/>
      <c r="F2228" s="52"/>
      <c r="G2228" s="53"/>
      <c r="H2228" s="53"/>
    </row>
    <row r="2229" spans="3:8" x14ac:dyDescent="0.15">
      <c r="C2229" s="53"/>
      <c r="D2229" s="50"/>
      <c r="E2229" s="51"/>
      <c r="F2229" s="52"/>
      <c r="G2229" s="53"/>
      <c r="H2229" s="53"/>
    </row>
    <row r="2230" spans="3:8" x14ac:dyDescent="0.15">
      <c r="C2230" s="53"/>
      <c r="D2230" s="50"/>
      <c r="E2230" s="51"/>
      <c r="F2230" s="52"/>
      <c r="G2230" s="53"/>
      <c r="H2230" s="53"/>
    </row>
    <row r="2231" spans="3:8" x14ac:dyDescent="0.15">
      <c r="C2231" s="53"/>
      <c r="D2231" s="50"/>
      <c r="E2231" s="51"/>
      <c r="F2231" s="52"/>
      <c r="G2231" s="53"/>
      <c r="H2231" s="53"/>
    </row>
    <row r="2232" spans="3:8" x14ac:dyDescent="0.15">
      <c r="C2232" s="53"/>
      <c r="D2232" s="50"/>
      <c r="E2232" s="51"/>
      <c r="F2232" s="52"/>
      <c r="G2232" s="53"/>
      <c r="H2232" s="53"/>
    </row>
    <row r="2233" spans="3:8" x14ac:dyDescent="0.15">
      <c r="C2233" s="53"/>
      <c r="D2233" s="50"/>
      <c r="E2233" s="51"/>
      <c r="F2233" s="52"/>
      <c r="G2233" s="53"/>
      <c r="H2233" s="53"/>
    </row>
    <row r="2234" spans="3:8" x14ac:dyDescent="0.15">
      <c r="C2234" s="53"/>
      <c r="D2234" s="50"/>
      <c r="E2234" s="51"/>
      <c r="F2234" s="52"/>
      <c r="G2234" s="53"/>
      <c r="H2234" s="53"/>
    </row>
    <row r="2235" spans="3:8" x14ac:dyDescent="0.15">
      <c r="C2235" s="53"/>
      <c r="D2235" s="50"/>
      <c r="E2235" s="51"/>
      <c r="F2235" s="52"/>
      <c r="G2235" s="53"/>
      <c r="H2235" s="53"/>
    </row>
    <row r="2236" spans="3:8" x14ac:dyDescent="0.15">
      <c r="C2236" s="53"/>
      <c r="D2236" s="50"/>
      <c r="E2236" s="51"/>
      <c r="F2236" s="52"/>
      <c r="G2236" s="53"/>
      <c r="H2236" s="53"/>
    </row>
    <row r="2237" spans="3:8" x14ac:dyDescent="0.15">
      <c r="C2237" s="53"/>
      <c r="D2237" s="50"/>
      <c r="E2237" s="51"/>
      <c r="F2237" s="52"/>
      <c r="G2237" s="53"/>
      <c r="H2237" s="53"/>
    </row>
    <row r="2238" spans="3:8" x14ac:dyDescent="0.15">
      <c r="C2238" s="53"/>
      <c r="D2238" s="50"/>
      <c r="E2238" s="51"/>
      <c r="F2238" s="52"/>
      <c r="G2238" s="53"/>
      <c r="H2238" s="53"/>
    </row>
    <row r="2239" spans="3:8" x14ac:dyDescent="0.15">
      <c r="C2239" s="53"/>
      <c r="D2239" s="50"/>
      <c r="E2239" s="51"/>
      <c r="F2239" s="52"/>
      <c r="G2239" s="53"/>
      <c r="H2239" s="53"/>
    </row>
    <row r="2240" spans="3:8" x14ac:dyDescent="0.15">
      <c r="C2240" s="53"/>
      <c r="D2240" s="50"/>
      <c r="E2240" s="51"/>
      <c r="F2240" s="52"/>
      <c r="G2240" s="53"/>
      <c r="H2240" s="53"/>
    </row>
    <row r="2241" spans="3:8" x14ac:dyDescent="0.15">
      <c r="C2241" s="53"/>
      <c r="D2241" s="50"/>
      <c r="E2241" s="51"/>
      <c r="F2241" s="52"/>
      <c r="G2241" s="53"/>
      <c r="H2241" s="53"/>
    </row>
    <row r="2242" spans="3:8" x14ac:dyDescent="0.15">
      <c r="C2242" s="53"/>
      <c r="D2242" s="50"/>
      <c r="E2242" s="51"/>
      <c r="F2242" s="52"/>
      <c r="G2242" s="53"/>
      <c r="H2242" s="53"/>
    </row>
    <row r="2243" spans="3:8" x14ac:dyDescent="0.15">
      <c r="C2243" s="53"/>
      <c r="D2243" s="50"/>
      <c r="E2243" s="51"/>
      <c r="F2243" s="52"/>
      <c r="G2243" s="53"/>
      <c r="H2243" s="53"/>
    </row>
    <row r="2244" spans="3:8" x14ac:dyDescent="0.15">
      <c r="C2244" s="53"/>
      <c r="D2244" s="50"/>
      <c r="E2244" s="51"/>
      <c r="F2244" s="52"/>
      <c r="G2244" s="53"/>
      <c r="H2244" s="53"/>
    </row>
    <row r="2245" spans="3:8" x14ac:dyDescent="0.15">
      <c r="C2245" s="53"/>
      <c r="D2245" s="50"/>
      <c r="E2245" s="51"/>
      <c r="F2245" s="52"/>
      <c r="G2245" s="53"/>
      <c r="H2245" s="53"/>
    </row>
    <row r="2246" spans="3:8" x14ac:dyDescent="0.15">
      <c r="C2246" s="53"/>
      <c r="D2246" s="50"/>
      <c r="E2246" s="51"/>
      <c r="F2246" s="52"/>
      <c r="G2246" s="53"/>
      <c r="H2246" s="53"/>
    </row>
    <row r="2247" spans="3:8" x14ac:dyDescent="0.15">
      <c r="C2247" s="53"/>
      <c r="D2247" s="50"/>
      <c r="E2247" s="51"/>
      <c r="F2247" s="52"/>
      <c r="G2247" s="53"/>
      <c r="H2247" s="53"/>
    </row>
    <row r="2248" spans="3:8" x14ac:dyDescent="0.15">
      <c r="C2248" s="53"/>
      <c r="D2248" s="50"/>
      <c r="E2248" s="51"/>
      <c r="F2248" s="52"/>
      <c r="G2248" s="53"/>
      <c r="H2248" s="53"/>
    </row>
    <row r="2249" spans="3:8" x14ac:dyDescent="0.15">
      <c r="C2249" s="53"/>
      <c r="D2249" s="50"/>
      <c r="E2249" s="51"/>
      <c r="F2249" s="52"/>
      <c r="G2249" s="53"/>
      <c r="H2249" s="53"/>
    </row>
    <row r="2250" spans="3:8" x14ac:dyDescent="0.15">
      <c r="C2250" s="53"/>
      <c r="D2250" s="50"/>
      <c r="E2250" s="51"/>
      <c r="F2250" s="52"/>
      <c r="G2250" s="53"/>
      <c r="H2250" s="53"/>
    </row>
    <row r="2251" spans="3:8" x14ac:dyDescent="0.15">
      <c r="C2251" s="53"/>
      <c r="D2251" s="50"/>
      <c r="E2251" s="51"/>
      <c r="F2251" s="52"/>
      <c r="G2251" s="53"/>
      <c r="H2251" s="53"/>
    </row>
    <row r="2252" spans="3:8" x14ac:dyDescent="0.15">
      <c r="C2252" s="53"/>
      <c r="D2252" s="50"/>
      <c r="E2252" s="51"/>
      <c r="F2252" s="52"/>
      <c r="G2252" s="53"/>
      <c r="H2252" s="53"/>
    </row>
    <row r="2253" spans="3:8" x14ac:dyDescent="0.15">
      <c r="C2253" s="53"/>
      <c r="D2253" s="50"/>
      <c r="E2253" s="51"/>
      <c r="F2253" s="52"/>
      <c r="G2253" s="53"/>
      <c r="H2253" s="53"/>
    </row>
    <row r="2254" spans="3:8" x14ac:dyDescent="0.15">
      <c r="C2254" s="53"/>
      <c r="D2254" s="50"/>
      <c r="E2254" s="51"/>
      <c r="F2254" s="52"/>
      <c r="G2254" s="53"/>
      <c r="H2254" s="53"/>
    </row>
    <row r="2255" spans="3:8" x14ac:dyDescent="0.15">
      <c r="C2255" s="53"/>
      <c r="D2255" s="50"/>
      <c r="E2255" s="51"/>
      <c r="F2255" s="52"/>
      <c r="G2255" s="53"/>
      <c r="H2255" s="53"/>
    </row>
    <row r="2256" spans="3:8" x14ac:dyDescent="0.15">
      <c r="C2256" s="53"/>
      <c r="D2256" s="50"/>
      <c r="E2256" s="51"/>
      <c r="F2256" s="52"/>
      <c r="G2256" s="53"/>
      <c r="H2256" s="53"/>
    </row>
    <row r="2257" spans="3:8" x14ac:dyDescent="0.15">
      <c r="C2257" s="53"/>
      <c r="D2257" s="50"/>
      <c r="E2257" s="51"/>
      <c r="F2257" s="52"/>
      <c r="G2257" s="53"/>
      <c r="H2257" s="53"/>
    </row>
    <row r="2258" spans="3:8" x14ac:dyDescent="0.15">
      <c r="C2258" s="53"/>
      <c r="D2258" s="50"/>
      <c r="E2258" s="51"/>
      <c r="F2258" s="52"/>
      <c r="G2258" s="53"/>
      <c r="H2258" s="53"/>
    </row>
    <row r="2259" spans="3:8" x14ac:dyDescent="0.15">
      <c r="C2259" s="53"/>
      <c r="D2259" s="50"/>
      <c r="E2259" s="51"/>
      <c r="F2259" s="52"/>
      <c r="G2259" s="53"/>
      <c r="H2259" s="53"/>
    </row>
    <row r="2260" spans="3:8" x14ac:dyDescent="0.15">
      <c r="C2260" s="53"/>
      <c r="D2260" s="50"/>
      <c r="E2260" s="51"/>
      <c r="F2260" s="52"/>
      <c r="G2260" s="53"/>
      <c r="H2260" s="53"/>
    </row>
    <row r="2261" spans="3:8" x14ac:dyDescent="0.15">
      <c r="C2261" s="53"/>
      <c r="D2261" s="50"/>
      <c r="E2261" s="51"/>
      <c r="F2261" s="52"/>
      <c r="G2261" s="53"/>
      <c r="H2261" s="53"/>
    </row>
    <row r="2262" spans="3:8" x14ac:dyDescent="0.15">
      <c r="C2262" s="53"/>
      <c r="D2262" s="50"/>
      <c r="E2262" s="51"/>
      <c r="F2262" s="52"/>
      <c r="G2262" s="53"/>
      <c r="H2262" s="53"/>
    </row>
    <row r="2263" spans="3:8" x14ac:dyDescent="0.15">
      <c r="C2263" s="53"/>
      <c r="D2263" s="50"/>
      <c r="E2263" s="51"/>
      <c r="F2263" s="52"/>
      <c r="G2263" s="53"/>
      <c r="H2263" s="53"/>
    </row>
    <row r="2264" spans="3:8" x14ac:dyDescent="0.15">
      <c r="C2264" s="53"/>
      <c r="D2264" s="50"/>
      <c r="E2264" s="51"/>
      <c r="F2264" s="52"/>
      <c r="G2264" s="53"/>
      <c r="H2264" s="53"/>
    </row>
    <row r="2265" spans="3:8" x14ac:dyDescent="0.15">
      <c r="C2265" s="53"/>
      <c r="D2265" s="50"/>
      <c r="E2265" s="51"/>
      <c r="F2265" s="52"/>
      <c r="G2265" s="53"/>
      <c r="H2265" s="53"/>
    </row>
    <row r="2266" spans="3:8" x14ac:dyDescent="0.15">
      <c r="C2266" s="53"/>
      <c r="D2266" s="50"/>
      <c r="E2266" s="51"/>
      <c r="F2266" s="52"/>
      <c r="G2266" s="53"/>
      <c r="H2266" s="53"/>
    </row>
    <row r="2267" spans="3:8" x14ac:dyDescent="0.15">
      <c r="C2267" s="53"/>
      <c r="D2267" s="50"/>
      <c r="E2267" s="51"/>
      <c r="F2267" s="52"/>
      <c r="G2267" s="53"/>
      <c r="H2267" s="53"/>
    </row>
    <row r="2268" spans="3:8" x14ac:dyDescent="0.15">
      <c r="C2268" s="53"/>
      <c r="D2268" s="50"/>
      <c r="E2268" s="51"/>
      <c r="F2268" s="52"/>
      <c r="G2268" s="53"/>
      <c r="H2268" s="53"/>
    </row>
    <row r="2269" spans="3:8" x14ac:dyDescent="0.15">
      <c r="C2269" s="53"/>
      <c r="D2269" s="50"/>
      <c r="E2269" s="51"/>
      <c r="F2269" s="52"/>
      <c r="G2269" s="53"/>
      <c r="H2269" s="53"/>
    </row>
    <row r="2270" spans="3:8" x14ac:dyDescent="0.15">
      <c r="C2270" s="53"/>
      <c r="D2270" s="50"/>
      <c r="E2270" s="51"/>
      <c r="F2270" s="52"/>
      <c r="G2270" s="53"/>
      <c r="H2270" s="53"/>
    </row>
    <row r="2271" spans="3:8" x14ac:dyDescent="0.15">
      <c r="C2271" s="53"/>
      <c r="D2271" s="50"/>
      <c r="E2271" s="51"/>
      <c r="F2271" s="52"/>
      <c r="G2271" s="53"/>
      <c r="H2271" s="53"/>
    </row>
    <row r="2272" spans="3:8" x14ac:dyDescent="0.15">
      <c r="C2272" s="53"/>
      <c r="D2272" s="50"/>
      <c r="E2272" s="51"/>
      <c r="F2272" s="52"/>
      <c r="G2272" s="53"/>
      <c r="H2272" s="53"/>
    </row>
    <row r="2273" spans="3:8" x14ac:dyDescent="0.15">
      <c r="C2273" s="53"/>
      <c r="D2273" s="50"/>
      <c r="E2273" s="51"/>
      <c r="F2273" s="52"/>
      <c r="G2273" s="53"/>
      <c r="H2273" s="53"/>
    </row>
    <row r="2274" spans="3:8" x14ac:dyDescent="0.15">
      <c r="C2274" s="53"/>
      <c r="D2274" s="50"/>
      <c r="E2274" s="51"/>
      <c r="F2274" s="52"/>
      <c r="G2274" s="53"/>
      <c r="H2274" s="53"/>
    </row>
    <row r="2275" spans="3:8" x14ac:dyDescent="0.15">
      <c r="C2275" s="53"/>
      <c r="D2275" s="50"/>
      <c r="E2275" s="51"/>
      <c r="F2275" s="52"/>
      <c r="G2275" s="53"/>
      <c r="H2275" s="53"/>
    </row>
    <row r="2276" spans="3:8" x14ac:dyDescent="0.15">
      <c r="C2276" s="53"/>
      <c r="D2276" s="50"/>
      <c r="E2276" s="51"/>
      <c r="F2276" s="52"/>
      <c r="G2276" s="53"/>
      <c r="H2276" s="53"/>
    </row>
    <row r="2277" spans="3:8" x14ac:dyDescent="0.15">
      <c r="C2277" s="53"/>
      <c r="D2277" s="50"/>
      <c r="E2277" s="51"/>
      <c r="F2277" s="52"/>
      <c r="G2277" s="53"/>
      <c r="H2277" s="53"/>
    </row>
    <row r="2278" spans="3:8" x14ac:dyDescent="0.15">
      <c r="C2278" s="53"/>
      <c r="D2278" s="50"/>
      <c r="E2278" s="51"/>
      <c r="F2278" s="52"/>
      <c r="G2278" s="53"/>
      <c r="H2278" s="53"/>
    </row>
    <row r="2279" spans="3:8" x14ac:dyDescent="0.15">
      <c r="C2279" s="53"/>
      <c r="D2279" s="50"/>
      <c r="E2279" s="51"/>
      <c r="F2279" s="52"/>
      <c r="G2279" s="53"/>
      <c r="H2279" s="53"/>
    </row>
    <row r="2280" spans="3:8" x14ac:dyDescent="0.15">
      <c r="C2280" s="53"/>
      <c r="D2280" s="50"/>
      <c r="E2280" s="51"/>
      <c r="F2280" s="52"/>
      <c r="G2280" s="53"/>
      <c r="H2280" s="53"/>
    </row>
    <row r="2281" spans="3:8" x14ac:dyDescent="0.15">
      <c r="C2281" s="53"/>
      <c r="D2281" s="50"/>
      <c r="E2281" s="51"/>
      <c r="F2281" s="52"/>
      <c r="G2281" s="53"/>
      <c r="H2281" s="53"/>
    </row>
    <row r="2282" spans="3:8" x14ac:dyDescent="0.15">
      <c r="C2282" s="53"/>
      <c r="D2282" s="50"/>
      <c r="E2282" s="51"/>
      <c r="F2282" s="52"/>
      <c r="G2282" s="53"/>
      <c r="H2282" s="53"/>
    </row>
    <row r="2283" spans="3:8" x14ac:dyDescent="0.15">
      <c r="C2283" s="53"/>
      <c r="D2283" s="50"/>
      <c r="E2283" s="51"/>
      <c r="F2283" s="52"/>
      <c r="G2283" s="53"/>
      <c r="H2283" s="53"/>
    </row>
    <row r="2284" spans="3:8" x14ac:dyDescent="0.15">
      <c r="C2284" s="53"/>
      <c r="D2284" s="50"/>
      <c r="E2284" s="51"/>
      <c r="F2284" s="52"/>
      <c r="G2284" s="53"/>
      <c r="H2284" s="53"/>
    </row>
    <row r="2285" spans="3:8" x14ac:dyDescent="0.15">
      <c r="C2285" s="53"/>
      <c r="D2285" s="50"/>
      <c r="E2285" s="51"/>
      <c r="F2285" s="52"/>
      <c r="G2285" s="53"/>
      <c r="H2285" s="53"/>
    </row>
    <row r="2286" spans="3:8" x14ac:dyDescent="0.15">
      <c r="C2286" s="53"/>
      <c r="D2286" s="50"/>
      <c r="E2286" s="51"/>
      <c r="F2286" s="52"/>
      <c r="G2286" s="53"/>
      <c r="H2286" s="53"/>
    </row>
    <row r="2287" spans="3:8" x14ac:dyDescent="0.15">
      <c r="C2287" s="53"/>
      <c r="D2287" s="50"/>
      <c r="E2287" s="51"/>
      <c r="F2287" s="52"/>
      <c r="G2287" s="53"/>
      <c r="H2287" s="53"/>
    </row>
    <row r="2288" spans="3:8" x14ac:dyDescent="0.15">
      <c r="C2288" s="53"/>
      <c r="D2288" s="50"/>
      <c r="E2288" s="51"/>
      <c r="F2288" s="52"/>
      <c r="G2288" s="53"/>
      <c r="H2288" s="53"/>
    </row>
    <row r="2289" spans="3:8" x14ac:dyDescent="0.15">
      <c r="C2289" s="53"/>
      <c r="D2289" s="50"/>
      <c r="E2289" s="51"/>
      <c r="F2289" s="52"/>
      <c r="G2289" s="53"/>
      <c r="H2289" s="53"/>
    </row>
    <row r="2290" spans="3:8" x14ac:dyDescent="0.15">
      <c r="C2290" s="53"/>
      <c r="D2290" s="50"/>
      <c r="E2290" s="51"/>
      <c r="F2290" s="52"/>
      <c r="G2290" s="53"/>
      <c r="H2290" s="53"/>
    </row>
    <row r="2291" spans="3:8" x14ac:dyDescent="0.15">
      <c r="C2291" s="53"/>
      <c r="D2291" s="50"/>
      <c r="E2291" s="51"/>
      <c r="F2291" s="52"/>
      <c r="G2291" s="53"/>
      <c r="H2291" s="53"/>
    </row>
    <row r="2292" spans="3:8" x14ac:dyDescent="0.15">
      <c r="C2292" s="53"/>
      <c r="D2292" s="50"/>
      <c r="E2292" s="51"/>
      <c r="F2292" s="52"/>
      <c r="G2292" s="53"/>
      <c r="H2292" s="53"/>
    </row>
    <row r="2293" spans="3:8" x14ac:dyDescent="0.15">
      <c r="C2293" s="53"/>
      <c r="D2293" s="50"/>
      <c r="E2293" s="51"/>
      <c r="F2293" s="52"/>
      <c r="G2293" s="53"/>
      <c r="H2293" s="53"/>
    </row>
    <row r="2294" spans="3:8" x14ac:dyDescent="0.15">
      <c r="C2294" s="53"/>
      <c r="D2294" s="50"/>
      <c r="E2294" s="51"/>
      <c r="F2294" s="52"/>
      <c r="G2294" s="53"/>
      <c r="H2294" s="53"/>
    </row>
    <row r="2295" spans="3:8" x14ac:dyDescent="0.15">
      <c r="C2295" s="53"/>
      <c r="D2295" s="50"/>
      <c r="E2295" s="51"/>
      <c r="F2295" s="52"/>
      <c r="G2295" s="53"/>
      <c r="H2295" s="53"/>
    </row>
    <row r="2296" spans="3:8" x14ac:dyDescent="0.15">
      <c r="C2296" s="53"/>
      <c r="D2296" s="50"/>
      <c r="E2296" s="51"/>
      <c r="F2296" s="52"/>
      <c r="G2296" s="53"/>
      <c r="H2296" s="53"/>
    </row>
    <row r="2297" spans="3:8" x14ac:dyDescent="0.15">
      <c r="C2297" s="53"/>
      <c r="D2297" s="50"/>
      <c r="E2297" s="51"/>
      <c r="F2297" s="52"/>
      <c r="G2297" s="53"/>
      <c r="H2297" s="53"/>
    </row>
    <row r="2298" spans="3:8" x14ac:dyDescent="0.15">
      <c r="C2298" s="53"/>
      <c r="D2298" s="50"/>
      <c r="E2298" s="51"/>
      <c r="F2298" s="52"/>
      <c r="G2298" s="53"/>
      <c r="H2298" s="53"/>
    </row>
    <row r="2299" spans="3:8" x14ac:dyDescent="0.15">
      <c r="C2299" s="53"/>
      <c r="D2299" s="50"/>
      <c r="E2299" s="51"/>
      <c r="F2299" s="52"/>
      <c r="G2299" s="53"/>
      <c r="H2299" s="53"/>
    </row>
    <row r="2300" spans="3:8" x14ac:dyDescent="0.15">
      <c r="C2300" s="53"/>
      <c r="D2300" s="50"/>
      <c r="E2300" s="51"/>
      <c r="F2300" s="52"/>
      <c r="G2300" s="53"/>
      <c r="H2300" s="53"/>
    </row>
    <row r="2301" spans="3:8" x14ac:dyDescent="0.15">
      <c r="C2301" s="53"/>
      <c r="D2301" s="50"/>
      <c r="E2301" s="51"/>
      <c r="F2301" s="52"/>
      <c r="G2301" s="53"/>
      <c r="H2301" s="53"/>
    </row>
    <row r="2302" spans="3:8" x14ac:dyDescent="0.15">
      <c r="C2302" s="53"/>
      <c r="D2302" s="50"/>
      <c r="E2302" s="51"/>
      <c r="F2302" s="52"/>
      <c r="G2302" s="53"/>
      <c r="H2302" s="53"/>
    </row>
    <row r="2303" spans="3:8" x14ac:dyDescent="0.15">
      <c r="C2303" s="53"/>
      <c r="D2303" s="50"/>
      <c r="E2303" s="51"/>
      <c r="F2303" s="52"/>
      <c r="G2303" s="53"/>
      <c r="H2303" s="53"/>
    </row>
    <row r="2304" spans="3:8" x14ac:dyDescent="0.15">
      <c r="C2304" s="53"/>
      <c r="D2304" s="50"/>
      <c r="E2304" s="51"/>
      <c r="F2304" s="52"/>
      <c r="G2304" s="53"/>
      <c r="H2304" s="53"/>
    </row>
    <row r="2305" spans="3:8" x14ac:dyDescent="0.15">
      <c r="C2305" s="53"/>
      <c r="D2305" s="50"/>
      <c r="E2305" s="51"/>
      <c r="F2305" s="52"/>
      <c r="G2305" s="53"/>
      <c r="H2305" s="53"/>
    </row>
    <row r="2306" spans="3:8" x14ac:dyDescent="0.15">
      <c r="C2306" s="53"/>
      <c r="D2306" s="50"/>
      <c r="E2306" s="51"/>
      <c r="F2306" s="52"/>
      <c r="G2306" s="53"/>
      <c r="H2306" s="53"/>
    </row>
    <row r="2307" spans="3:8" x14ac:dyDescent="0.15">
      <c r="C2307" s="53"/>
      <c r="D2307" s="50"/>
      <c r="E2307" s="51"/>
      <c r="F2307" s="52"/>
      <c r="G2307" s="53"/>
      <c r="H2307" s="53"/>
    </row>
    <row r="2308" spans="3:8" x14ac:dyDescent="0.15">
      <c r="C2308" s="53"/>
      <c r="D2308" s="50"/>
      <c r="E2308" s="51"/>
      <c r="F2308" s="52"/>
      <c r="G2308" s="53"/>
      <c r="H2308" s="53"/>
    </row>
    <row r="2309" spans="3:8" x14ac:dyDescent="0.15">
      <c r="C2309" s="53"/>
      <c r="D2309" s="50"/>
      <c r="E2309" s="51"/>
      <c r="F2309" s="52"/>
      <c r="G2309" s="53"/>
      <c r="H2309" s="53"/>
    </row>
    <row r="2310" spans="3:8" x14ac:dyDescent="0.15">
      <c r="C2310" s="53"/>
      <c r="D2310" s="50"/>
      <c r="E2310" s="51"/>
      <c r="F2310" s="52"/>
      <c r="G2310" s="53"/>
      <c r="H2310" s="53"/>
    </row>
    <row r="2311" spans="3:8" x14ac:dyDescent="0.15">
      <c r="C2311" s="53"/>
      <c r="D2311" s="50"/>
      <c r="E2311" s="51"/>
      <c r="F2311" s="52"/>
      <c r="G2311" s="53"/>
      <c r="H2311" s="53"/>
    </row>
    <row r="2312" spans="3:8" x14ac:dyDescent="0.15">
      <c r="C2312" s="53"/>
      <c r="D2312" s="50"/>
      <c r="E2312" s="51"/>
      <c r="F2312" s="52"/>
      <c r="G2312" s="53"/>
      <c r="H2312" s="53"/>
    </row>
    <row r="2313" spans="3:8" x14ac:dyDescent="0.15">
      <c r="C2313" s="53"/>
      <c r="D2313" s="50"/>
      <c r="E2313" s="51"/>
      <c r="F2313" s="52"/>
      <c r="G2313" s="53"/>
      <c r="H2313" s="53"/>
    </row>
    <row r="2314" spans="3:8" x14ac:dyDescent="0.15">
      <c r="C2314" s="53"/>
      <c r="D2314" s="50"/>
      <c r="E2314" s="51"/>
      <c r="F2314" s="52"/>
      <c r="G2314" s="53"/>
      <c r="H2314" s="53"/>
    </row>
    <row r="2315" spans="3:8" x14ac:dyDescent="0.15">
      <c r="C2315" s="53"/>
      <c r="D2315" s="50"/>
      <c r="E2315" s="51"/>
      <c r="F2315" s="52"/>
      <c r="G2315" s="53"/>
      <c r="H2315" s="53"/>
    </row>
    <row r="2316" spans="3:8" x14ac:dyDescent="0.15">
      <c r="C2316" s="53"/>
      <c r="D2316" s="50"/>
      <c r="E2316" s="51"/>
      <c r="F2316" s="52"/>
      <c r="G2316" s="53"/>
      <c r="H2316" s="53"/>
    </row>
    <row r="2317" spans="3:8" x14ac:dyDescent="0.15">
      <c r="C2317" s="53"/>
      <c r="D2317" s="50"/>
      <c r="E2317" s="51"/>
      <c r="F2317" s="52"/>
      <c r="G2317" s="53"/>
      <c r="H2317" s="53"/>
    </row>
    <row r="2318" spans="3:8" x14ac:dyDescent="0.15">
      <c r="C2318" s="53"/>
      <c r="D2318" s="50"/>
      <c r="E2318" s="51"/>
      <c r="F2318" s="52"/>
      <c r="G2318" s="53"/>
      <c r="H2318" s="53"/>
    </row>
    <row r="2319" spans="3:8" x14ac:dyDescent="0.15">
      <c r="C2319" s="53"/>
      <c r="D2319" s="50"/>
      <c r="E2319" s="51"/>
      <c r="F2319" s="52"/>
      <c r="G2319" s="53"/>
      <c r="H2319" s="53"/>
    </row>
    <row r="2320" spans="3:8" x14ac:dyDescent="0.15">
      <c r="C2320" s="53"/>
      <c r="D2320" s="50"/>
      <c r="E2320" s="51"/>
      <c r="F2320" s="52"/>
      <c r="G2320" s="53"/>
      <c r="H2320" s="53"/>
    </row>
    <row r="2321" spans="3:8" x14ac:dyDescent="0.15">
      <c r="C2321" s="53"/>
      <c r="D2321" s="50"/>
      <c r="E2321" s="51"/>
      <c r="F2321" s="52"/>
      <c r="G2321" s="53"/>
      <c r="H2321" s="53"/>
    </row>
    <row r="2322" spans="3:8" x14ac:dyDescent="0.15">
      <c r="C2322" s="53"/>
      <c r="D2322" s="50"/>
      <c r="E2322" s="51"/>
      <c r="F2322" s="52"/>
      <c r="G2322" s="53"/>
      <c r="H2322" s="53"/>
    </row>
    <row r="2323" spans="3:8" x14ac:dyDescent="0.15">
      <c r="C2323" s="53"/>
      <c r="D2323" s="50"/>
      <c r="E2323" s="51"/>
      <c r="F2323" s="52"/>
      <c r="G2323" s="53"/>
      <c r="H2323" s="53"/>
    </row>
    <row r="2324" spans="3:8" x14ac:dyDescent="0.15">
      <c r="C2324" s="53"/>
      <c r="D2324" s="50"/>
      <c r="E2324" s="51"/>
      <c r="F2324" s="52"/>
      <c r="G2324" s="53"/>
      <c r="H2324" s="53"/>
    </row>
    <row r="2325" spans="3:8" x14ac:dyDescent="0.15">
      <c r="C2325" s="53"/>
      <c r="D2325" s="50"/>
      <c r="E2325" s="51"/>
      <c r="F2325" s="52"/>
      <c r="G2325" s="53"/>
      <c r="H2325" s="53"/>
    </row>
    <row r="2326" spans="3:8" x14ac:dyDescent="0.15">
      <c r="C2326" s="53"/>
      <c r="D2326" s="50"/>
      <c r="E2326" s="51"/>
      <c r="F2326" s="52"/>
      <c r="G2326" s="53"/>
      <c r="H2326" s="53"/>
    </row>
    <row r="2327" spans="3:8" x14ac:dyDescent="0.15">
      <c r="C2327" s="53"/>
      <c r="D2327" s="50"/>
      <c r="E2327" s="51"/>
      <c r="F2327" s="52"/>
      <c r="G2327" s="53"/>
      <c r="H2327" s="53"/>
    </row>
    <row r="2328" spans="3:8" x14ac:dyDescent="0.15">
      <c r="C2328" s="53"/>
      <c r="D2328" s="50"/>
      <c r="E2328" s="51"/>
      <c r="F2328" s="52"/>
      <c r="G2328" s="53"/>
      <c r="H2328" s="53"/>
    </row>
    <row r="2329" spans="3:8" x14ac:dyDescent="0.15">
      <c r="C2329" s="53"/>
      <c r="D2329" s="50"/>
      <c r="E2329" s="51"/>
      <c r="F2329" s="52"/>
      <c r="G2329" s="53"/>
      <c r="H2329" s="53"/>
    </row>
    <row r="2330" spans="3:8" x14ac:dyDescent="0.15">
      <c r="C2330" s="53"/>
      <c r="D2330" s="50"/>
      <c r="E2330" s="51"/>
      <c r="F2330" s="52"/>
      <c r="G2330" s="53"/>
      <c r="H2330" s="53"/>
    </row>
    <row r="2331" spans="3:8" x14ac:dyDescent="0.15">
      <c r="C2331" s="53"/>
      <c r="D2331" s="50"/>
      <c r="E2331" s="51"/>
      <c r="F2331" s="52"/>
      <c r="G2331" s="53"/>
      <c r="H2331" s="53"/>
    </row>
    <row r="2332" spans="3:8" x14ac:dyDescent="0.15">
      <c r="C2332" s="53"/>
      <c r="D2332" s="50"/>
      <c r="E2332" s="51"/>
      <c r="F2332" s="52"/>
      <c r="G2332" s="53"/>
      <c r="H2332" s="53"/>
    </row>
    <row r="2333" spans="3:8" x14ac:dyDescent="0.15">
      <c r="C2333" s="53"/>
      <c r="D2333" s="50"/>
      <c r="E2333" s="51"/>
      <c r="F2333" s="52"/>
      <c r="G2333" s="53"/>
      <c r="H2333" s="53"/>
    </row>
    <row r="2334" spans="3:8" x14ac:dyDescent="0.15">
      <c r="C2334" s="53"/>
      <c r="D2334" s="50"/>
      <c r="E2334" s="51"/>
      <c r="F2334" s="52"/>
      <c r="G2334" s="53"/>
      <c r="H2334" s="53"/>
    </row>
    <row r="2335" spans="3:8" x14ac:dyDescent="0.15">
      <c r="C2335" s="53"/>
      <c r="D2335" s="50"/>
      <c r="E2335" s="51"/>
      <c r="F2335" s="52"/>
      <c r="G2335" s="53"/>
      <c r="H2335" s="53"/>
    </row>
    <row r="2336" spans="3:8" x14ac:dyDescent="0.15">
      <c r="C2336" s="53"/>
      <c r="D2336" s="50"/>
      <c r="E2336" s="51"/>
      <c r="F2336" s="52"/>
      <c r="G2336" s="53"/>
      <c r="H2336" s="53"/>
    </row>
    <row r="2337" spans="3:8" x14ac:dyDescent="0.15">
      <c r="C2337" s="53"/>
      <c r="D2337" s="50"/>
      <c r="E2337" s="51"/>
      <c r="F2337" s="52"/>
      <c r="G2337" s="53"/>
      <c r="H2337" s="53"/>
    </row>
    <row r="2338" spans="3:8" x14ac:dyDescent="0.15">
      <c r="C2338" s="53"/>
      <c r="D2338" s="50"/>
      <c r="E2338" s="51"/>
      <c r="F2338" s="52"/>
      <c r="G2338" s="53"/>
      <c r="H2338" s="53"/>
    </row>
    <row r="2339" spans="3:8" x14ac:dyDescent="0.15">
      <c r="C2339" s="53"/>
      <c r="D2339" s="50"/>
      <c r="E2339" s="51"/>
      <c r="F2339" s="52"/>
      <c r="G2339" s="53"/>
      <c r="H2339" s="53"/>
    </row>
    <row r="2340" spans="3:8" x14ac:dyDescent="0.15">
      <c r="C2340" s="53"/>
      <c r="D2340" s="50"/>
      <c r="E2340" s="51"/>
      <c r="F2340" s="52"/>
      <c r="G2340" s="53"/>
      <c r="H2340" s="53"/>
    </row>
    <row r="2341" spans="3:8" x14ac:dyDescent="0.15">
      <c r="C2341" s="53"/>
      <c r="D2341" s="50"/>
      <c r="E2341" s="51"/>
      <c r="F2341" s="52"/>
      <c r="G2341" s="53"/>
      <c r="H2341" s="53"/>
    </row>
    <row r="2342" spans="3:8" x14ac:dyDescent="0.15">
      <c r="C2342" s="53"/>
      <c r="D2342" s="50"/>
      <c r="E2342" s="51"/>
      <c r="F2342" s="52"/>
      <c r="G2342" s="53"/>
      <c r="H2342" s="53"/>
    </row>
    <row r="2343" spans="3:8" x14ac:dyDescent="0.15">
      <c r="C2343" s="53"/>
      <c r="D2343" s="50"/>
      <c r="E2343" s="51"/>
      <c r="F2343" s="52"/>
      <c r="G2343" s="53"/>
      <c r="H2343" s="53"/>
    </row>
    <row r="2344" spans="3:8" x14ac:dyDescent="0.15">
      <c r="C2344" s="53"/>
      <c r="D2344" s="50"/>
      <c r="E2344" s="51"/>
      <c r="F2344" s="52"/>
      <c r="G2344" s="53"/>
      <c r="H2344" s="53"/>
    </row>
    <row r="2345" spans="3:8" x14ac:dyDescent="0.15">
      <c r="C2345" s="53"/>
      <c r="D2345" s="50"/>
      <c r="E2345" s="51"/>
      <c r="F2345" s="52"/>
      <c r="G2345" s="53"/>
      <c r="H2345" s="53"/>
    </row>
    <row r="2346" spans="3:8" x14ac:dyDescent="0.15">
      <c r="C2346" s="53"/>
      <c r="D2346" s="50"/>
      <c r="E2346" s="51"/>
      <c r="F2346" s="52"/>
      <c r="G2346" s="53"/>
      <c r="H2346" s="53"/>
    </row>
    <row r="2347" spans="3:8" x14ac:dyDescent="0.15">
      <c r="C2347" s="53"/>
      <c r="D2347" s="50"/>
      <c r="E2347" s="51"/>
      <c r="F2347" s="52"/>
      <c r="G2347" s="53"/>
      <c r="H2347" s="53"/>
    </row>
    <row r="2348" spans="3:8" x14ac:dyDescent="0.15">
      <c r="C2348" s="53"/>
      <c r="D2348" s="50"/>
      <c r="E2348" s="51"/>
      <c r="F2348" s="52"/>
      <c r="G2348" s="53"/>
      <c r="H2348" s="53"/>
    </row>
    <row r="2349" spans="3:8" x14ac:dyDescent="0.15">
      <c r="C2349" s="53"/>
      <c r="D2349" s="50"/>
      <c r="E2349" s="51"/>
      <c r="F2349" s="52"/>
      <c r="G2349" s="53"/>
      <c r="H2349" s="53"/>
    </row>
    <row r="2350" spans="3:8" x14ac:dyDescent="0.15">
      <c r="C2350" s="53"/>
      <c r="D2350" s="50"/>
      <c r="E2350" s="51"/>
      <c r="F2350" s="52"/>
      <c r="G2350" s="53"/>
      <c r="H2350" s="53"/>
    </row>
    <row r="2351" spans="3:8" x14ac:dyDescent="0.15">
      <c r="C2351" s="53"/>
      <c r="D2351" s="50"/>
      <c r="E2351" s="51"/>
      <c r="F2351" s="52"/>
      <c r="G2351" s="53"/>
      <c r="H2351" s="53"/>
    </row>
    <row r="2352" spans="3:8" x14ac:dyDescent="0.15">
      <c r="C2352" s="53"/>
      <c r="D2352" s="50"/>
      <c r="E2352" s="51"/>
      <c r="F2352" s="52"/>
      <c r="G2352" s="53"/>
      <c r="H2352" s="53"/>
    </row>
    <row r="2353" spans="3:8" x14ac:dyDescent="0.15">
      <c r="C2353" s="53"/>
      <c r="D2353" s="50"/>
      <c r="E2353" s="51"/>
      <c r="F2353" s="52"/>
      <c r="G2353" s="53"/>
      <c r="H2353" s="53"/>
    </row>
    <row r="2354" spans="3:8" x14ac:dyDescent="0.15">
      <c r="C2354" s="53"/>
      <c r="D2354" s="50"/>
      <c r="E2354" s="51"/>
      <c r="F2354" s="52"/>
      <c r="G2354" s="53"/>
      <c r="H2354" s="53"/>
    </row>
    <row r="2355" spans="3:8" x14ac:dyDescent="0.15">
      <c r="C2355" s="53"/>
      <c r="D2355" s="50"/>
      <c r="E2355" s="51"/>
      <c r="F2355" s="52"/>
      <c r="G2355" s="53"/>
      <c r="H2355" s="53"/>
    </row>
    <row r="2356" spans="3:8" x14ac:dyDescent="0.15">
      <c r="C2356" s="53"/>
      <c r="D2356" s="50"/>
      <c r="E2356" s="51"/>
      <c r="F2356" s="52"/>
      <c r="G2356" s="53"/>
      <c r="H2356" s="53"/>
    </row>
    <row r="2357" spans="3:8" x14ac:dyDescent="0.15">
      <c r="C2357" s="53"/>
      <c r="D2357" s="50"/>
      <c r="E2357" s="51"/>
      <c r="F2357" s="52"/>
      <c r="G2357" s="53"/>
      <c r="H2357" s="53"/>
    </row>
    <row r="2358" spans="3:8" x14ac:dyDescent="0.15">
      <c r="C2358" s="53"/>
      <c r="D2358" s="50"/>
      <c r="E2358" s="51"/>
      <c r="F2358" s="52"/>
      <c r="G2358" s="53"/>
      <c r="H2358" s="53"/>
    </row>
    <row r="2359" spans="3:8" x14ac:dyDescent="0.15">
      <c r="C2359" s="53"/>
      <c r="D2359" s="50"/>
      <c r="E2359" s="51"/>
      <c r="F2359" s="52"/>
      <c r="G2359" s="53"/>
      <c r="H2359" s="53"/>
    </row>
    <row r="2360" spans="3:8" x14ac:dyDescent="0.15">
      <c r="C2360" s="53"/>
      <c r="D2360" s="50"/>
      <c r="E2360" s="51"/>
      <c r="F2360" s="52"/>
      <c r="G2360" s="53"/>
      <c r="H2360" s="53"/>
    </row>
    <row r="2361" spans="3:8" x14ac:dyDescent="0.15">
      <c r="C2361" s="53"/>
      <c r="D2361" s="50"/>
      <c r="E2361" s="51"/>
      <c r="F2361" s="52"/>
      <c r="G2361" s="53"/>
      <c r="H2361" s="53"/>
    </row>
    <row r="2362" spans="3:8" x14ac:dyDescent="0.15">
      <c r="C2362" s="53"/>
      <c r="D2362" s="50"/>
      <c r="E2362" s="51"/>
      <c r="F2362" s="52"/>
      <c r="G2362" s="53"/>
      <c r="H2362" s="53"/>
    </row>
    <row r="2363" spans="3:8" x14ac:dyDescent="0.15">
      <c r="C2363" s="53"/>
      <c r="D2363" s="50"/>
      <c r="E2363" s="51"/>
      <c r="F2363" s="52"/>
      <c r="G2363" s="53"/>
      <c r="H2363" s="53"/>
    </row>
    <row r="2364" spans="3:8" x14ac:dyDescent="0.15">
      <c r="C2364" s="53"/>
      <c r="D2364" s="50"/>
      <c r="E2364" s="51"/>
      <c r="F2364" s="52"/>
      <c r="G2364" s="53"/>
      <c r="H2364" s="53"/>
    </row>
    <row r="2365" spans="3:8" x14ac:dyDescent="0.15">
      <c r="C2365" s="53"/>
      <c r="D2365" s="50"/>
      <c r="E2365" s="51"/>
      <c r="F2365" s="52"/>
      <c r="G2365" s="53"/>
      <c r="H2365" s="53"/>
    </row>
    <row r="2366" spans="3:8" x14ac:dyDescent="0.15">
      <c r="C2366" s="53"/>
      <c r="D2366" s="50"/>
      <c r="E2366" s="51"/>
      <c r="F2366" s="52"/>
      <c r="G2366" s="53"/>
      <c r="H2366" s="53"/>
    </row>
    <row r="2367" spans="3:8" x14ac:dyDescent="0.15">
      <c r="C2367" s="53"/>
      <c r="D2367" s="50"/>
      <c r="E2367" s="51"/>
      <c r="F2367" s="52"/>
      <c r="G2367" s="53"/>
      <c r="H2367" s="53"/>
    </row>
    <row r="2368" spans="3:8" x14ac:dyDescent="0.15">
      <c r="C2368" s="53"/>
      <c r="D2368" s="50"/>
      <c r="E2368" s="51"/>
      <c r="F2368" s="52"/>
      <c r="G2368" s="53"/>
      <c r="H2368" s="53"/>
    </row>
    <row r="2369" spans="3:8" x14ac:dyDescent="0.15">
      <c r="C2369" s="53"/>
      <c r="D2369" s="50"/>
      <c r="E2369" s="51"/>
      <c r="F2369" s="52"/>
      <c r="G2369" s="53"/>
      <c r="H2369" s="53"/>
    </row>
    <row r="2370" spans="3:8" x14ac:dyDescent="0.15">
      <c r="C2370" s="53"/>
      <c r="D2370" s="50"/>
      <c r="E2370" s="51"/>
      <c r="F2370" s="52"/>
      <c r="G2370" s="53"/>
      <c r="H2370" s="53"/>
    </row>
    <row r="2371" spans="3:8" x14ac:dyDescent="0.15">
      <c r="C2371" s="53"/>
      <c r="D2371" s="50"/>
      <c r="E2371" s="51"/>
      <c r="F2371" s="52"/>
      <c r="G2371" s="53"/>
      <c r="H2371" s="53"/>
    </row>
    <row r="2372" spans="3:8" x14ac:dyDescent="0.15">
      <c r="C2372" s="53"/>
      <c r="D2372" s="50"/>
      <c r="E2372" s="51"/>
      <c r="F2372" s="52"/>
      <c r="G2372" s="53"/>
      <c r="H2372" s="53"/>
    </row>
    <row r="2373" spans="3:8" x14ac:dyDescent="0.15">
      <c r="C2373" s="53"/>
      <c r="D2373" s="50"/>
      <c r="E2373" s="51"/>
      <c r="F2373" s="52"/>
      <c r="G2373" s="53"/>
      <c r="H2373" s="53"/>
    </row>
    <row r="2374" spans="3:8" x14ac:dyDescent="0.15">
      <c r="C2374" s="53"/>
      <c r="D2374" s="50"/>
      <c r="E2374" s="51"/>
      <c r="F2374" s="52"/>
      <c r="G2374" s="53"/>
      <c r="H2374" s="53"/>
    </row>
    <row r="2375" spans="3:8" x14ac:dyDescent="0.15">
      <c r="C2375" s="53"/>
      <c r="D2375" s="50"/>
      <c r="E2375" s="51"/>
      <c r="F2375" s="52"/>
      <c r="G2375" s="53"/>
      <c r="H2375" s="53"/>
    </row>
    <row r="2376" spans="3:8" x14ac:dyDescent="0.15">
      <c r="C2376" s="53"/>
      <c r="D2376" s="50"/>
      <c r="E2376" s="51"/>
      <c r="F2376" s="52"/>
      <c r="G2376" s="53"/>
      <c r="H2376" s="53"/>
    </row>
    <row r="2377" spans="3:8" x14ac:dyDescent="0.15">
      <c r="C2377" s="53"/>
      <c r="D2377" s="50"/>
      <c r="E2377" s="51"/>
      <c r="F2377" s="52"/>
      <c r="G2377" s="53"/>
      <c r="H2377" s="53"/>
    </row>
    <row r="2378" spans="3:8" x14ac:dyDescent="0.15">
      <c r="C2378" s="53"/>
      <c r="D2378" s="50"/>
      <c r="E2378" s="51"/>
      <c r="F2378" s="52"/>
      <c r="G2378" s="53"/>
      <c r="H2378" s="53"/>
    </row>
    <row r="2379" spans="3:8" x14ac:dyDescent="0.15">
      <c r="C2379" s="53"/>
      <c r="D2379" s="50"/>
      <c r="E2379" s="51"/>
      <c r="F2379" s="52"/>
      <c r="G2379" s="53"/>
      <c r="H2379" s="53"/>
    </row>
    <row r="2380" spans="3:8" x14ac:dyDescent="0.15">
      <c r="C2380" s="53"/>
      <c r="D2380" s="50"/>
      <c r="E2380" s="51"/>
      <c r="F2380" s="52"/>
      <c r="G2380" s="53"/>
      <c r="H2380" s="53"/>
    </row>
    <row r="2381" spans="3:8" x14ac:dyDescent="0.15">
      <c r="C2381" s="53"/>
      <c r="D2381" s="50"/>
      <c r="E2381" s="51"/>
      <c r="F2381" s="52"/>
      <c r="G2381" s="53"/>
      <c r="H2381" s="53"/>
    </row>
    <row r="2382" spans="3:8" x14ac:dyDescent="0.15">
      <c r="C2382" s="53"/>
      <c r="D2382" s="50"/>
      <c r="E2382" s="51"/>
      <c r="F2382" s="52"/>
      <c r="G2382" s="53"/>
      <c r="H2382" s="53"/>
    </row>
    <row r="2383" spans="3:8" x14ac:dyDescent="0.15">
      <c r="C2383" s="53"/>
      <c r="D2383" s="50"/>
      <c r="E2383" s="51"/>
      <c r="F2383" s="52"/>
      <c r="G2383" s="53"/>
      <c r="H2383" s="53"/>
    </row>
    <row r="2384" spans="3:8" x14ac:dyDescent="0.15">
      <c r="C2384" s="53"/>
      <c r="D2384" s="50"/>
      <c r="E2384" s="51"/>
      <c r="F2384" s="52"/>
      <c r="G2384" s="53"/>
      <c r="H2384" s="53"/>
    </row>
    <row r="2385" spans="3:8" x14ac:dyDescent="0.15">
      <c r="C2385" s="53"/>
      <c r="D2385" s="50"/>
      <c r="E2385" s="51"/>
      <c r="F2385" s="52"/>
      <c r="G2385" s="53"/>
      <c r="H2385" s="53"/>
    </row>
    <row r="2386" spans="3:8" x14ac:dyDescent="0.15">
      <c r="C2386" s="53"/>
      <c r="D2386" s="50"/>
      <c r="E2386" s="51"/>
      <c r="F2386" s="52"/>
      <c r="G2386" s="53"/>
      <c r="H2386" s="53"/>
    </row>
    <row r="2387" spans="3:8" x14ac:dyDescent="0.15">
      <c r="C2387" s="53"/>
      <c r="D2387" s="50"/>
      <c r="E2387" s="51"/>
      <c r="F2387" s="52"/>
      <c r="G2387" s="53"/>
      <c r="H2387" s="53"/>
    </row>
    <row r="2388" spans="3:8" x14ac:dyDescent="0.15">
      <c r="C2388" s="53"/>
      <c r="D2388" s="50"/>
      <c r="E2388" s="51"/>
      <c r="F2388" s="52"/>
      <c r="G2388" s="53"/>
      <c r="H2388" s="53"/>
    </row>
    <row r="2389" spans="3:8" x14ac:dyDescent="0.15">
      <c r="C2389" s="53"/>
      <c r="D2389" s="50"/>
      <c r="E2389" s="51"/>
      <c r="F2389" s="52"/>
      <c r="G2389" s="53"/>
      <c r="H2389" s="53"/>
    </row>
    <row r="2390" spans="3:8" x14ac:dyDescent="0.15">
      <c r="C2390" s="53"/>
      <c r="D2390" s="50"/>
      <c r="E2390" s="51"/>
      <c r="F2390" s="52"/>
      <c r="G2390" s="53"/>
      <c r="H2390" s="53"/>
    </row>
    <row r="2391" spans="3:8" x14ac:dyDescent="0.15">
      <c r="C2391" s="53"/>
      <c r="D2391" s="50"/>
      <c r="E2391" s="51"/>
      <c r="F2391" s="52"/>
      <c r="G2391" s="53"/>
      <c r="H2391" s="53"/>
    </row>
    <row r="2392" spans="3:8" x14ac:dyDescent="0.15">
      <c r="C2392" s="53"/>
      <c r="D2392" s="50"/>
      <c r="E2392" s="51"/>
      <c r="F2392" s="52"/>
      <c r="G2392" s="53"/>
      <c r="H2392" s="53"/>
    </row>
    <row r="2393" spans="3:8" x14ac:dyDescent="0.15">
      <c r="C2393" s="53"/>
      <c r="D2393" s="50"/>
      <c r="E2393" s="51"/>
      <c r="F2393" s="52"/>
      <c r="G2393" s="53"/>
      <c r="H2393" s="53"/>
    </row>
    <row r="2394" spans="3:8" x14ac:dyDescent="0.15">
      <c r="C2394" s="53"/>
      <c r="D2394" s="50"/>
      <c r="E2394" s="51"/>
      <c r="F2394" s="52"/>
      <c r="G2394" s="53"/>
      <c r="H2394" s="53"/>
    </row>
    <row r="2395" spans="3:8" x14ac:dyDescent="0.15">
      <c r="C2395" s="53"/>
      <c r="D2395" s="50"/>
      <c r="E2395" s="51"/>
      <c r="F2395" s="52"/>
      <c r="G2395" s="53"/>
      <c r="H2395" s="53"/>
    </row>
    <row r="2396" spans="3:8" x14ac:dyDescent="0.15">
      <c r="C2396" s="53"/>
      <c r="D2396" s="50"/>
      <c r="E2396" s="51"/>
      <c r="F2396" s="52"/>
      <c r="G2396" s="53"/>
      <c r="H2396" s="53"/>
    </row>
    <row r="2397" spans="3:8" x14ac:dyDescent="0.15">
      <c r="C2397" s="53"/>
      <c r="D2397" s="50"/>
      <c r="E2397" s="51"/>
      <c r="F2397" s="52"/>
      <c r="G2397" s="53"/>
      <c r="H2397" s="53"/>
    </row>
    <row r="2398" spans="3:8" x14ac:dyDescent="0.15">
      <c r="C2398" s="53"/>
      <c r="D2398" s="50"/>
      <c r="E2398" s="51"/>
      <c r="F2398" s="52"/>
      <c r="G2398" s="53"/>
      <c r="H2398" s="53"/>
    </row>
    <row r="2399" spans="3:8" x14ac:dyDescent="0.15">
      <c r="C2399" s="53"/>
      <c r="D2399" s="50"/>
      <c r="E2399" s="51"/>
      <c r="F2399" s="52"/>
      <c r="G2399" s="53"/>
      <c r="H2399" s="53"/>
    </row>
    <row r="2400" spans="3:8" x14ac:dyDescent="0.15">
      <c r="C2400" s="53"/>
      <c r="D2400" s="50"/>
      <c r="E2400" s="51"/>
      <c r="F2400" s="52"/>
      <c r="G2400" s="53"/>
      <c r="H2400" s="53"/>
    </row>
    <row r="2401" spans="3:8" x14ac:dyDescent="0.15">
      <c r="C2401" s="53"/>
      <c r="D2401" s="50"/>
      <c r="E2401" s="51"/>
      <c r="F2401" s="52"/>
      <c r="G2401" s="53"/>
      <c r="H2401" s="53"/>
    </row>
    <row r="2402" spans="3:8" x14ac:dyDescent="0.15">
      <c r="C2402" s="53"/>
      <c r="D2402" s="50"/>
      <c r="E2402" s="51"/>
      <c r="F2402" s="52"/>
      <c r="G2402" s="53"/>
      <c r="H2402" s="53"/>
    </row>
    <row r="2403" spans="3:8" x14ac:dyDescent="0.15">
      <c r="C2403" s="53"/>
      <c r="D2403" s="50"/>
      <c r="E2403" s="51"/>
      <c r="F2403" s="52"/>
      <c r="G2403" s="53"/>
      <c r="H2403" s="53"/>
    </row>
    <row r="2404" spans="3:8" x14ac:dyDescent="0.15">
      <c r="C2404" s="53"/>
      <c r="D2404" s="50"/>
      <c r="E2404" s="51"/>
      <c r="F2404" s="52"/>
      <c r="G2404" s="53"/>
      <c r="H2404" s="53"/>
    </row>
    <row r="2405" spans="3:8" x14ac:dyDescent="0.15">
      <c r="C2405" s="53"/>
      <c r="D2405" s="50"/>
      <c r="E2405" s="51"/>
      <c r="F2405" s="52"/>
      <c r="G2405" s="53"/>
      <c r="H2405" s="53"/>
    </row>
    <row r="2406" spans="3:8" x14ac:dyDescent="0.15">
      <c r="C2406" s="53"/>
      <c r="D2406" s="50"/>
      <c r="E2406" s="51"/>
      <c r="F2406" s="52"/>
      <c r="G2406" s="53"/>
      <c r="H2406" s="53"/>
    </row>
    <row r="2407" spans="3:8" x14ac:dyDescent="0.15">
      <c r="C2407" s="53"/>
      <c r="D2407" s="50"/>
      <c r="E2407" s="51"/>
      <c r="F2407" s="52"/>
      <c r="G2407" s="53"/>
      <c r="H2407" s="53"/>
    </row>
    <row r="2408" spans="3:8" x14ac:dyDescent="0.15">
      <c r="C2408" s="53"/>
      <c r="D2408" s="50"/>
      <c r="E2408" s="51"/>
      <c r="F2408" s="52"/>
      <c r="G2408" s="53"/>
      <c r="H2408" s="53"/>
    </row>
    <row r="2409" spans="3:8" x14ac:dyDescent="0.15">
      <c r="C2409" s="53"/>
      <c r="D2409" s="50"/>
      <c r="E2409" s="51"/>
      <c r="F2409" s="52"/>
      <c r="G2409" s="53"/>
      <c r="H2409" s="53"/>
    </row>
    <row r="2410" spans="3:8" x14ac:dyDescent="0.15">
      <c r="C2410" s="53"/>
      <c r="D2410" s="50"/>
      <c r="E2410" s="51"/>
      <c r="F2410" s="52"/>
      <c r="G2410" s="53"/>
      <c r="H2410" s="53"/>
    </row>
    <row r="2411" spans="3:8" x14ac:dyDescent="0.15">
      <c r="C2411" s="53"/>
      <c r="D2411" s="50"/>
      <c r="E2411" s="51"/>
      <c r="F2411" s="52"/>
      <c r="G2411" s="53"/>
      <c r="H2411" s="53"/>
    </row>
    <row r="2412" spans="3:8" x14ac:dyDescent="0.15">
      <c r="C2412" s="53"/>
      <c r="D2412" s="50"/>
      <c r="E2412" s="51"/>
      <c r="F2412" s="52"/>
      <c r="G2412" s="53"/>
      <c r="H2412" s="53"/>
    </row>
    <row r="2413" spans="3:8" x14ac:dyDescent="0.15">
      <c r="C2413" s="53"/>
      <c r="D2413" s="50"/>
      <c r="E2413" s="51"/>
      <c r="F2413" s="52"/>
      <c r="G2413" s="53"/>
      <c r="H2413" s="53"/>
    </row>
    <row r="2414" spans="3:8" x14ac:dyDescent="0.15">
      <c r="C2414" s="53"/>
      <c r="D2414" s="50"/>
      <c r="E2414" s="51"/>
      <c r="F2414" s="52"/>
      <c r="G2414" s="53"/>
      <c r="H2414" s="53"/>
    </row>
    <row r="2415" spans="3:8" x14ac:dyDescent="0.15">
      <c r="C2415" s="53"/>
      <c r="D2415" s="50"/>
      <c r="E2415" s="51"/>
      <c r="F2415" s="52"/>
      <c r="G2415" s="53"/>
      <c r="H2415" s="53"/>
    </row>
    <row r="2416" spans="3:8" x14ac:dyDescent="0.15">
      <c r="C2416" s="53"/>
      <c r="D2416" s="50"/>
      <c r="E2416" s="51"/>
      <c r="F2416" s="52"/>
      <c r="G2416" s="53"/>
      <c r="H2416" s="53"/>
    </row>
    <row r="2417" spans="3:8" x14ac:dyDescent="0.15">
      <c r="C2417" s="53"/>
      <c r="D2417" s="50"/>
      <c r="E2417" s="51"/>
      <c r="F2417" s="52"/>
      <c r="G2417" s="53"/>
      <c r="H2417" s="53"/>
    </row>
    <row r="2418" spans="3:8" x14ac:dyDescent="0.15">
      <c r="C2418" s="53"/>
      <c r="D2418" s="50"/>
      <c r="E2418" s="51"/>
      <c r="F2418" s="52"/>
      <c r="G2418" s="53"/>
      <c r="H2418" s="53"/>
    </row>
    <row r="2419" spans="3:8" x14ac:dyDescent="0.15">
      <c r="C2419" s="53"/>
      <c r="D2419" s="50"/>
      <c r="E2419" s="51"/>
      <c r="F2419" s="52"/>
      <c r="G2419" s="53"/>
      <c r="H2419" s="53"/>
    </row>
    <row r="2420" spans="3:8" x14ac:dyDescent="0.15">
      <c r="C2420" s="53"/>
      <c r="D2420" s="50"/>
      <c r="E2420" s="51"/>
      <c r="F2420" s="52"/>
      <c r="G2420" s="53"/>
      <c r="H2420" s="53"/>
    </row>
    <row r="2421" spans="3:8" x14ac:dyDescent="0.15">
      <c r="C2421" s="53"/>
      <c r="D2421" s="50"/>
      <c r="E2421" s="51"/>
      <c r="F2421" s="52"/>
      <c r="G2421" s="53"/>
      <c r="H2421" s="53"/>
    </row>
    <row r="2422" spans="3:8" x14ac:dyDescent="0.15">
      <c r="C2422" s="53"/>
      <c r="D2422" s="50"/>
      <c r="E2422" s="51"/>
      <c r="F2422" s="52"/>
      <c r="G2422" s="53"/>
      <c r="H2422" s="53"/>
    </row>
    <row r="2423" spans="3:8" x14ac:dyDescent="0.15">
      <c r="C2423" s="53"/>
      <c r="D2423" s="50"/>
      <c r="E2423" s="51"/>
      <c r="F2423" s="52"/>
      <c r="G2423" s="53"/>
      <c r="H2423" s="53"/>
    </row>
    <row r="2424" spans="3:8" x14ac:dyDescent="0.15">
      <c r="C2424" s="53"/>
      <c r="D2424" s="50"/>
      <c r="E2424" s="51"/>
      <c r="F2424" s="52"/>
      <c r="G2424" s="53"/>
      <c r="H2424" s="53"/>
    </row>
    <row r="2425" spans="3:8" x14ac:dyDescent="0.15">
      <c r="C2425" s="53"/>
      <c r="D2425" s="50"/>
      <c r="E2425" s="51"/>
      <c r="F2425" s="52"/>
      <c r="G2425" s="53"/>
      <c r="H2425" s="53"/>
    </row>
    <row r="2426" spans="3:8" x14ac:dyDescent="0.15">
      <c r="C2426" s="53"/>
      <c r="D2426" s="50"/>
      <c r="E2426" s="51"/>
      <c r="F2426" s="52"/>
      <c r="G2426" s="53"/>
      <c r="H2426" s="53"/>
    </row>
    <row r="2427" spans="3:8" x14ac:dyDescent="0.15">
      <c r="C2427" s="53"/>
      <c r="D2427" s="50"/>
      <c r="E2427" s="51"/>
      <c r="F2427" s="52"/>
      <c r="G2427" s="53"/>
      <c r="H2427" s="53"/>
    </row>
    <row r="2428" spans="3:8" x14ac:dyDescent="0.15">
      <c r="C2428" s="53"/>
      <c r="D2428" s="50"/>
      <c r="E2428" s="51"/>
      <c r="F2428" s="52"/>
      <c r="G2428" s="53"/>
      <c r="H2428" s="53"/>
    </row>
    <row r="2429" spans="3:8" x14ac:dyDescent="0.15">
      <c r="C2429" s="53"/>
      <c r="D2429" s="50"/>
      <c r="E2429" s="51"/>
      <c r="F2429" s="52"/>
      <c r="G2429" s="53"/>
      <c r="H2429" s="53"/>
    </row>
    <row r="2430" spans="3:8" x14ac:dyDescent="0.15">
      <c r="C2430" s="53"/>
      <c r="D2430" s="50"/>
      <c r="E2430" s="51"/>
      <c r="F2430" s="52"/>
      <c r="G2430" s="53"/>
      <c r="H2430" s="53"/>
    </row>
    <row r="2431" spans="3:8" x14ac:dyDescent="0.15">
      <c r="C2431" s="53"/>
      <c r="D2431" s="50"/>
      <c r="E2431" s="51"/>
      <c r="F2431" s="52"/>
      <c r="G2431" s="53"/>
      <c r="H2431" s="53"/>
    </row>
    <row r="2432" spans="3:8" x14ac:dyDescent="0.15">
      <c r="C2432" s="53"/>
      <c r="D2432" s="50"/>
      <c r="E2432" s="51"/>
      <c r="F2432" s="52"/>
      <c r="G2432" s="53"/>
      <c r="H2432" s="53"/>
    </row>
    <row r="2433" spans="3:8" x14ac:dyDescent="0.15">
      <c r="C2433" s="53"/>
      <c r="D2433" s="50"/>
      <c r="E2433" s="51"/>
      <c r="F2433" s="52"/>
      <c r="G2433" s="53"/>
      <c r="H2433" s="53"/>
    </row>
    <row r="2434" spans="3:8" x14ac:dyDescent="0.15">
      <c r="C2434" s="53"/>
      <c r="D2434" s="50"/>
      <c r="E2434" s="51"/>
      <c r="F2434" s="52"/>
      <c r="G2434" s="53"/>
      <c r="H2434" s="53"/>
    </row>
    <row r="2435" spans="3:8" x14ac:dyDescent="0.15">
      <c r="C2435" s="53"/>
      <c r="D2435" s="50"/>
      <c r="E2435" s="51"/>
      <c r="F2435" s="52"/>
      <c r="G2435" s="53"/>
      <c r="H2435" s="53"/>
    </row>
    <row r="2436" spans="3:8" x14ac:dyDescent="0.15">
      <c r="C2436" s="53"/>
      <c r="D2436" s="50"/>
      <c r="E2436" s="51"/>
      <c r="F2436" s="52"/>
      <c r="G2436" s="53"/>
      <c r="H2436" s="53"/>
    </row>
    <row r="2437" spans="3:8" x14ac:dyDescent="0.15">
      <c r="C2437" s="53"/>
      <c r="D2437" s="50"/>
      <c r="E2437" s="51"/>
      <c r="F2437" s="52"/>
      <c r="G2437" s="53"/>
      <c r="H2437" s="53"/>
    </row>
    <row r="2438" spans="3:8" x14ac:dyDescent="0.15">
      <c r="C2438" s="53"/>
      <c r="D2438" s="50"/>
      <c r="E2438" s="51"/>
      <c r="F2438" s="52"/>
      <c r="G2438" s="53"/>
      <c r="H2438" s="53"/>
    </row>
    <row r="2439" spans="3:8" x14ac:dyDescent="0.15">
      <c r="C2439" s="53"/>
      <c r="D2439" s="50"/>
      <c r="E2439" s="51"/>
      <c r="F2439" s="52"/>
      <c r="G2439" s="53"/>
      <c r="H2439" s="53"/>
    </row>
    <row r="2440" spans="3:8" x14ac:dyDescent="0.15">
      <c r="C2440" s="53"/>
      <c r="D2440" s="50"/>
      <c r="E2440" s="51"/>
      <c r="F2440" s="52"/>
      <c r="G2440" s="53"/>
      <c r="H2440" s="53"/>
    </row>
    <row r="2441" spans="3:8" x14ac:dyDescent="0.15">
      <c r="C2441" s="53"/>
      <c r="D2441" s="50"/>
      <c r="E2441" s="51"/>
      <c r="F2441" s="52"/>
      <c r="G2441" s="53"/>
      <c r="H2441" s="53"/>
    </row>
    <row r="2442" spans="3:8" x14ac:dyDescent="0.15">
      <c r="C2442" s="53"/>
      <c r="D2442" s="50"/>
      <c r="E2442" s="51"/>
      <c r="F2442" s="52"/>
      <c r="G2442" s="53"/>
      <c r="H2442" s="53"/>
    </row>
    <row r="2443" spans="3:8" x14ac:dyDescent="0.15">
      <c r="C2443" s="53"/>
      <c r="D2443" s="50"/>
      <c r="E2443" s="51"/>
      <c r="F2443" s="52"/>
      <c r="G2443" s="53"/>
      <c r="H2443" s="53"/>
    </row>
    <row r="2444" spans="3:8" x14ac:dyDescent="0.15">
      <c r="C2444" s="53"/>
      <c r="D2444" s="50"/>
      <c r="E2444" s="51"/>
      <c r="F2444" s="52"/>
      <c r="G2444" s="53"/>
      <c r="H2444" s="53"/>
    </row>
    <row r="2445" spans="3:8" x14ac:dyDescent="0.15">
      <c r="C2445" s="53"/>
      <c r="D2445" s="50"/>
      <c r="E2445" s="51"/>
      <c r="F2445" s="52"/>
      <c r="G2445" s="53"/>
      <c r="H2445" s="53"/>
    </row>
    <row r="2446" spans="3:8" x14ac:dyDescent="0.15">
      <c r="C2446" s="53"/>
      <c r="D2446" s="50"/>
      <c r="E2446" s="51"/>
      <c r="F2446" s="52"/>
      <c r="G2446" s="53"/>
      <c r="H2446" s="53"/>
    </row>
    <row r="2447" spans="3:8" x14ac:dyDescent="0.15">
      <c r="C2447" s="53"/>
      <c r="D2447" s="50"/>
      <c r="E2447" s="51"/>
      <c r="F2447" s="52"/>
      <c r="G2447" s="53"/>
      <c r="H2447" s="53"/>
    </row>
    <row r="2448" spans="3:8" x14ac:dyDescent="0.15">
      <c r="C2448" s="53"/>
      <c r="D2448" s="50"/>
      <c r="E2448" s="51"/>
      <c r="F2448" s="52"/>
      <c r="G2448" s="53"/>
      <c r="H2448" s="53"/>
    </row>
    <row r="2449" spans="3:8" x14ac:dyDescent="0.15">
      <c r="C2449" s="53"/>
      <c r="D2449" s="50"/>
      <c r="E2449" s="51"/>
      <c r="F2449" s="52"/>
      <c r="G2449" s="53"/>
      <c r="H2449" s="53"/>
    </row>
    <row r="2450" spans="3:8" x14ac:dyDescent="0.15">
      <c r="C2450" s="53"/>
      <c r="D2450" s="50"/>
      <c r="E2450" s="51"/>
      <c r="F2450" s="52"/>
      <c r="G2450" s="53"/>
      <c r="H2450" s="53"/>
    </row>
    <row r="2451" spans="3:8" x14ac:dyDescent="0.15">
      <c r="C2451" s="53"/>
      <c r="D2451" s="50"/>
      <c r="E2451" s="51"/>
      <c r="F2451" s="52"/>
      <c r="G2451" s="53"/>
      <c r="H2451" s="53"/>
    </row>
    <row r="2452" spans="3:8" x14ac:dyDescent="0.15">
      <c r="C2452" s="53"/>
      <c r="D2452" s="50"/>
      <c r="E2452" s="51"/>
      <c r="F2452" s="52"/>
      <c r="G2452" s="53"/>
      <c r="H2452" s="53"/>
    </row>
    <row r="2453" spans="3:8" x14ac:dyDescent="0.15">
      <c r="C2453" s="53"/>
      <c r="D2453" s="50"/>
      <c r="E2453" s="51"/>
      <c r="F2453" s="52"/>
      <c r="G2453" s="53"/>
      <c r="H2453" s="53"/>
    </row>
    <row r="2454" spans="3:8" x14ac:dyDescent="0.15">
      <c r="C2454" s="53"/>
      <c r="D2454" s="50"/>
      <c r="E2454" s="51"/>
      <c r="F2454" s="52"/>
      <c r="G2454" s="53"/>
      <c r="H2454" s="53"/>
    </row>
    <row r="2455" spans="3:8" x14ac:dyDescent="0.15">
      <c r="C2455" s="53"/>
      <c r="D2455" s="50"/>
      <c r="E2455" s="51"/>
      <c r="F2455" s="52"/>
      <c r="G2455" s="53"/>
      <c r="H2455" s="53"/>
    </row>
    <row r="2456" spans="3:8" x14ac:dyDescent="0.15">
      <c r="C2456" s="53"/>
      <c r="D2456" s="50"/>
      <c r="E2456" s="51"/>
      <c r="F2456" s="52"/>
      <c r="G2456" s="53"/>
      <c r="H2456" s="53"/>
    </row>
    <row r="2457" spans="3:8" x14ac:dyDescent="0.15">
      <c r="C2457" s="53"/>
      <c r="D2457" s="50"/>
      <c r="E2457" s="51"/>
      <c r="F2457" s="52"/>
      <c r="G2457" s="53"/>
      <c r="H2457" s="53"/>
    </row>
    <row r="2458" spans="3:8" x14ac:dyDescent="0.15">
      <c r="C2458" s="53"/>
      <c r="D2458" s="50"/>
      <c r="E2458" s="51"/>
      <c r="F2458" s="52"/>
      <c r="G2458" s="53"/>
      <c r="H2458" s="53"/>
    </row>
    <row r="2459" spans="3:8" x14ac:dyDescent="0.15">
      <c r="C2459" s="53"/>
      <c r="D2459" s="50"/>
      <c r="E2459" s="51"/>
      <c r="F2459" s="52"/>
      <c r="G2459" s="53"/>
      <c r="H2459" s="53"/>
    </row>
    <row r="2460" spans="3:8" x14ac:dyDescent="0.15">
      <c r="C2460" s="53"/>
      <c r="D2460" s="50"/>
      <c r="E2460" s="51"/>
      <c r="F2460" s="52"/>
      <c r="G2460" s="53"/>
      <c r="H2460" s="53"/>
    </row>
    <row r="2461" spans="3:8" x14ac:dyDescent="0.15">
      <c r="C2461" s="53"/>
      <c r="D2461" s="50"/>
      <c r="E2461" s="51"/>
      <c r="F2461" s="52"/>
      <c r="G2461" s="53"/>
      <c r="H2461" s="53"/>
    </row>
    <row r="2462" spans="3:8" x14ac:dyDescent="0.15">
      <c r="C2462" s="53"/>
      <c r="D2462" s="50"/>
      <c r="E2462" s="51"/>
      <c r="F2462" s="52"/>
      <c r="G2462" s="53"/>
      <c r="H2462" s="53"/>
    </row>
    <row r="2463" spans="3:8" x14ac:dyDescent="0.15">
      <c r="C2463" s="53"/>
      <c r="D2463" s="50"/>
      <c r="E2463" s="51"/>
      <c r="F2463" s="52"/>
      <c r="G2463" s="53"/>
      <c r="H2463" s="53"/>
    </row>
    <row r="2464" spans="3:8" x14ac:dyDescent="0.15">
      <c r="C2464" s="53"/>
      <c r="D2464" s="50"/>
      <c r="E2464" s="51"/>
      <c r="F2464" s="52"/>
      <c r="G2464" s="53"/>
      <c r="H2464" s="53"/>
    </row>
    <row r="2465" spans="3:8" x14ac:dyDescent="0.15">
      <c r="C2465" s="53"/>
      <c r="D2465" s="50"/>
      <c r="E2465" s="51"/>
      <c r="F2465" s="52"/>
      <c r="G2465" s="53"/>
      <c r="H2465" s="53"/>
    </row>
    <row r="2466" spans="3:8" x14ac:dyDescent="0.15">
      <c r="C2466" s="53"/>
      <c r="D2466" s="50"/>
      <c r="E2466" s="51"/>
      <c r="F2466" s="52"/>
      <c r="G2466" s="53"/>
      <c r="H2466" s="53"/>
    </row>
    <row r="2467" spans="3:8" x14ac:dyDescent="0.15">
      <c r="C2467" s="53"/>
      <c r="D2467" s="50"/>
      <c r="E2467" s="51"/>
      <c r="F2467" s="52"/>
      <c r="G2467" s="53"/>
      <c r="H2467" s="53"/>
    </row>
    <row r="2468" spans="3:8" x14ac:dyDescent="0.15">
      <c r="C2468" s="53"/>
      <c r="D2468" s="50"/>
      <c r="E2468" s="51"/>
      <c r="F2468" s="52"/>
      <c r="G2468" s="53"/>
      <c r="H2468" s="53"/>
    </row>
    <row r="2469" spans="3:8" x14ac:dyDescent="0.15">
      <c r="C2469" s="53"/>
      <c r="D2469" s="50"/>
      <c r="E2469" s="51"/>
      <c r="F2469" s="52"/>
      <c r="G2469" s="53"/>
      <c r="H2469" s="53"/>
    </row>
    <row r="2470" spans="3:8" x14ac:dyDescent="0.15">
      <c r="C2470" s="53"/>
      <c r="D2470" s="50"/>
      <c r="E2470" s="51"/>
      <c r="F2470" s="52"/>
      <c r="G2470" s="53"/>
      <c r="H2470" s="53"/>
    </row>
    <row r="2471" spans="3:8" x14ac:dyDescent="0.15">
      <c r="C2471" s="53"/>
      <c r="D2471" s="50"/>
      <c r="E2471" s="51"/>
      <c r="F2471" s="52"/>
      <c r="G2471" s="53"/>
      <c r="H2471" s="53"/>
    </row>
    <row r="2472" spans="3:8" x14ac:dyDescent="0.15">
      <c r="C2472" s="53"/>
      <c r="D2472" s="50"/>
      <c r="E2472" s="51"/>
      <c r="F2472" s="52"/>
      <c r="G2472" s="53"/>
      <c r="H2472" s="53"/>
    </row>
    <row r="2473" spans="3:8" x14ac:dyDescent="0.15">
      <c r="C2473" s="53"/>
      <c r="D2473" s="50"/>
      <c r="E2473" s="51"/>
      <c r="F2473" s="52"/>
      <c r="G2473" s="53"/>
      <c r="H2473" s="53"/>
    </row>
    <row r="2474" spans="3:8" x14ac:dyDescent="0.15">
      <c r="C2474" s="53"/>
      <c r="D2474" s="50"/>
      <c r="E2474" s="51"/>
      <c r="F2474" s="52"/>
      <c r="G2474" s="53"/>
      <c r="H2474" s="53"/>
    </row>
    <row r="2475" spans="3:8" x14ac:dyDescent="0.15">
      <c r="C2475" s="53"/>
      <c r="D2475" s="50"/>
      <c r="E2475" s="51"/>
      <c r="F2475" s="52"/>
      <c r="G2475" s="53"/>
      <c r="H2475" s="53"/>
    </row>
    <row r="2476" spans="3:8" x14ac:dyDescent="0.15">
      <c r="C2476" s="53"/>
      <c r="D2476" s="50"/>
      <c r="E2476" s="51"/>
      <c r="F2476" s="52"/>
      <c r="G2476" s="53"/>
      <c r="H2476" s="53"/>
    </row>
    <row r="2477" spans="3:8" x14ac:dyDescent="0.15">
      <c r="C2477" s="53"/>
      <c r="D2477" s="50"/>
      <c r="E2477" s="51"/>
      <c r="F2477" s="52"/>
      <c r="G2477" s="53"/>
      <c r="H2477" s="53"/>
    </row>
    <row r="2478" spans="3:8" x14ac:dyDescent="0.15">
      <c r="C2478" s="53"/>
      <c r="D2478" s="50"/>
      <c r="E2478" s="51"/>
      <c r="F2478" s="52"/>
      <c r="G2478" s="53"/>
      <c r="H2478" s="53"/>
    </row>
    <row r="2479" spans="3:8" x14ac:dyDescent="0.15">
      <c r="C2479" s="53"/>
      <c r="D2479" s="50"/>
      <c r="E2479" s="51"/>
      <c r="F2479" s="52"/>
      <c r="G2479" s="53"/>
      <c r="H2479" s="53"/>
    </row>
    <row r="2480" spans="3:8" x14ac:dyDescent="0.15">
      <c r="C2480" s="53"/>
      <c r="D2480" s="50"/>
      <c r="E2480" s="51"/>
      <c r="F2480" s="52"/>
      <c r="G2480" s="53"/>
      <c r="H2480" s="53"/>
    </row>
    <row r="2481" spans="3:8" x14ac:dyDescent="0.15">
      <c r="C2481" s="53"/>
      <c r="D2481" s="50"/>
      <c r="E2481" s="51"/>
      <c r="F2481" s="52"/>
      <c r="G2481" s="53"/>
      <c r="H2481" s="53"/>
    </row>
    <row r="2482" spans="3:8" x14ac:dyDescent="0.15">
      <c r="C2482" s="53"/>
      <c r="D2482" s="50"/>
      <c r="E2482" s="51"/>
      <c r="F2482" s="52"/>
      <c r="G2482" s="53"/>
      <c r="H2482" s="53"/>
    </row>
    <row r="2483" spans="3:8" x14ac:dyDescent="0.15">
      <c r="C2483" s="53"/>
      <c r="D2483" s="50"/>
      <c r="E2483" s="51"/>
      <c r="F2483" s="52"/>
      <c r="G2483" s="53"/>
      <c r="H2483" s="53"/>
    </row>
    <row r="2484" spans="3:8" x14ac:dyDescent="0.15">
      <c r="C2484" s="53"/>
      <c r="D2484" s="50"/>
      <c r="E2484" s="51"/>
      <c r="F2484" s="52"/>
      <c r="G2484" s="53"/>
      <c r="H2484" s="53"/>
    </row>
    <row r="2485" spans="3:8" x14ac:dyDescent="0.15">
      <c r="C2485" s="53"/>
      <c r="D2485" s="50"/>
      <c r="E2485" s="51"/>
      <c r="F2485" s="52"/>
      <c r="G2485" s="53"/>
      <c r="H2485" s="53"/>
    </row>
    <row r="2486" spans="3:8" x14ac:dyDescent="0.15">
      <c r="C2486" s="53"/>
      <c r="D2486" s="50"/>
      <c r="E2486" s="51"/>
      <c r="F2486" s="52"/>
      <c r="G2486" s="53"/>
      <c r="H2486" s="53"/>
    </row>
    <row r="2487" spans="3:8" x14ac:dyDescent="0.15">
      <c r="C2487" s="53"/>
      <c r="D2487" s="50"/>
      <c r="E2487" s="51"/>
      <c r="F2487" s="52"/>
      <c r="G2487" s="53"/>
      <c r="H2487" s="53"/>
    </row>
    <row r="2488" spans="3:8" x14ac:dyDescent="0.15">
      <c r="C2488" s="53"/>
      <c r="D2488" s="50"/>
      <c r="E2488" s="51"/>
      <c r="F2488" s="52"/>
      <c r="G2488" s="53"/>
      <c r="H2488" s="53"/>
    </row>
    <row r="2489" spans="3:8" x14ac:dyDescent="0.15">
      <c r="C2489" s="53"/>
      <c r="D2489" s="50"/>
      <c r="E2489" s="51"/>
      <c r="F2489" s="52"/>
      <c r="G2489" s="53"/>
      <c r="H2489" s="53"/>
    </row>
    <row r="2490" spans="3:8" x14ac:dyDescent="0.15">
      <c r="C2490" s="53"/>
      <c r="D2490" s="50"/>
      <c r="E2490" s="51"/>
      <c r="F2490" s="52"/>
      <c r="G2490" s="53"/>
      <c r="H2490" s="53"/>
    </row>
    <row r="2491" spans="3:8" x14ac:dyDescent="0.15">
      <c r="C2491" s="53"/>
      <c r="D2491" s="50"/>
      <c r="E2491" s="51"/>
      <c r="F2491" s="52"/>
      <c r="G2491" s="53"/>
      <c r="H2491" s="53"/>
    </row>
    <row r="2492" spans="3:8" x14ac:dyDescent="0.15">
      <c r="C2492" s="53"/>
      <c r="D2492" s="50"/>
      <c r="E2492" s="51"/>
      <c r="F2492" s="52"/>
      <c r="G2492" s="53"/>
      <c r="H2492" s="53"/>
    </row>
    <row r="2493" spans="3:8" x14ac:dyDescent="0.15">
      <c r="C2493" s="53"/>
      <c r="D2493" s="50"/>
      <c r="E2493" s="51"/>
      <c r="F2493" s="52"/>
      <c r="G2493" s="53"/>
      <c r="H2493" s="53"/>
    </row>
    <row r="2494" spans="3:8" x14ac:dyDescent="0.15">
      <c r="C2494" s="53"/>
      <c r="D2494" s="50"/>
      <c r="E2494" s="51"/>
      <c r="F2494" s="52"/>
      <c r="G2494" s="53"/>
      <c r="H2494" s="53"/>
    </row>
    <row r="2495" spans="3:8" x14ac:dyDescent="0.15">
      <c r="C2495" s="53"/>
      <c r="D2495" s="50"/>
      <c r="E2495" s="51"/>
      <c r="F2495" s="52"/>
      <c r="G2495" s="53"/>
      <c r="H2495" s="53"/>
    </row>
    <row r="2496" spans="3:8" x14ac:dyDescent="0.15">
      <c r="C2496" s="53"/>
      <c r="D2496" s="50"/>
      <c r="E2496" s="51"/>
      <c r="F2496" s="52"/>
      <c r="G2496" s="53"/>
      <c r="H2496" s="53"/>
    </row>
    <row r="2497" spans="3:8" x14ac:dyDescent="0.15">
      <c r="C2497" s="53"/>
      <c r="D2497" s="50"/>
      <c r="E2497" s="51"/>
      <c r="F2497" s="52"/>
      <c r="G2497" s="53"/>
      <c r="H2497" s="53"/>
    </row>
    <row r="2498" spans="3:8" x14ac:dyDescent="0.15">
      <c r="C2498" s="53"/>
      <c r="D2498" s="50"/>
      <c r="E2498" s="51"/>
      <c r="F2498" s="52"/>
      <c r="G2498" s="53"/>
      <c r="H2498" s="53"/>
    </row>
    <row r="2499" spans="3:8" x14ac:dyDescent="0.15">
      <c r="C2499" s="53"/>
      <c r="D2499" s="50"/>
      <c r="E2499" s="51"/>
      <c r="F2499" s="52"/>
      <c r="G2499" s="53"/>
      <c r="H2499" s="53"/>
    </row>
    <row r="2500" spans="3:8" x14ac:dyDescent="0.15">
      <c r="C2500" s="53"/>
      <c r="D2500" s="50"/>
      <c r="E2500" s="51"/>
      <c r="F2500" s="52"/>
      <c r="G2500" s="53"/>
      <c r="H2500" s="53"/>
    </row>
    <row r="2501" spans="3:8" x14ac:dyDescent="0.15">
      <c r="C2501" s="53"/>
      <c r="D2501" s="50"/>
      <c r="E2501" s="51"/>
      <c r="F2501" s="52"/>
      <c r="G2501" s="53"/>
      <c r="H2501" s="53"/>
    </row>
    <row r="2502" spans="3:8" x14ac:dyDescent="0.15">
      <c r="C2502" s="53"/>
      <c r="D2502" s="50"/>
      <c r="E2502" s="51"/>
      <c r="F2502" s="52"/>
      <c r="G2502" s="53"/>
      <c r="H2502" s="53"/>
    </row>
    <row r="2503" spans="3:8" x14ac:dyDescent="0.15">
      <c r="C2503" s="53"/>
      <c r="D2503" s="50"/>
      <c r="E2503" s="51"/>
      <c r="F2503" s="52"/>
      <c r="G2503" s="53"/>
      <c r="H2503" s="53"/>
    </row>
    <row r="2504" spans="3:8" x14ac:dyDescent="0.15">
      <c r="C2504" s="53"/>
      <c r="D2504" s="50"/>
      <c r="E2504" s="51"/>
      <c r="F2504" s="52"/>
      <c r="G2504" s="53"/>
      <c r="H2504" s="53"/>
    </row>
    <row r="2505" spans="3:8" x14ac:dyDescent="0.15">
      <c r="C2505" s="53"/>
      <c r="D2505" s="50"/>
      <c r="E2505" s="51"/>
      <c r="F2505" s="52"/>
      <c r="G2505" s="53"/>
      <c r="H2505" s="53"/>
    </row>
    <row r="2506" spans="3:8" x14ac:dyDescent="0.15">
      <c r="C2506" s="53"/>
      <c r="D2506" s="50"/>
      <c r="E2506" s="51"/>
      <c r="F2506" s="52"/>
      <c r="G2506" s="53"/>
      <c r="H2506" s="53"/>
    </row>
    <row r="2507" spans="3:8" x14ac:dyDescent="0.15">
      <c r="C2507" s="53"/>
      <c r="D2507" s="50"/>
      <c r="E2507" s="51"/>
      <c r="F2507" s="52"/>
      <c r="G2507" s="53"/>
      <c r="H2507" s="53"/>
    </row>
    <row r="2508" spans="3:8" x14ac:dyDescent="0.15">
      <c r="C2508" s="53"/>
      <c r="D2508" s="50"/>
      <c r="E2508" s="51"/>
      <c r="F2508" s="52"/>
      <c r="G2508" s="53"/>
      <c r="H2508" s="53"/>
    </row>
    <row r="2509" spans="3:8" x14ac:dyDescent="0.15">
      <c r="C2509" s="53"/>
      <c r="D2509" s="50"/>
      <c r="E2509" s="51"/>
      <c r="F2509" s="52"/>
      <c r="G2509" s="53"/>
      <c r="H2509" s="53"/>
    </row>
    <row r="2510" spans="3:8" x14ac:dyDescent="0.15">
      <c r="C2510" s="53"/>
      <c r="D2510" s="50"/>
      <c r="E2510" s="51"/>
      <c r="F2510" s="52"/>
      <c r="G2510" s="53"/>
      <c r="H2510" s="53"/>
    </row>
    <row r="2511" spans="3:8" x14ac:dyDescent="0.15">
      <c r="C2511" s="53"/>
      <c r="D2511" s="50"/>
      <c r="E2511" s="51"/>
      <c r="F2511" s="52"/>
      <c r="G2511" s="53"/>
      <c r="H2511" s="53"/>
    </row>
    <row r="2512" spans="3:8" x14ac:dyDescent="0.15">
      <c r="C2512" s="53"/>
      <c r="D2512" s="50"/>
      <c r="E2512" s="51"/>
      <c r="F2512" s="52"/>
      <c r="G2512" s="53"/>
      <c r="H2512" s="53"/>
    </row>
    <row r="2513" spans="3:8" x14ac:dyDescent="0.15">
      <c r="C2513" s="53"/>
      <c r="D2513" s="50"/>
      <c r="E2513" s="51"/>
      <c r="F2513" s="52"/>
      <c r="G2513" s="53"/>
      <c r="H2513" s="53"/>
    </row>
    <row r="2514" spans="3:8" x14ac:dyDescent="0.15">
      <c r="C2514" s="53"/>
      <c r="D2514" s="50"/>
      <c r="E2514" s="51"/>
      <c r="F2514" s="52"/>
      <c r="G2514" s="53"/>
      <c r="H2514" s="53"/>
    </row>
    <row r="2515" spans="3:8" x14ac:dyDescent="0.15">
      <c r="C2515" s="53"/>
      <c r="D2515" s="50"/>
      <c r="E2515" s="51"/>
      <c r="F2515" s="52"/>
      <c r="G2515" s="53"/>
      <c r="H2515" s="53"/>
    </row>
    <row r="2516" spans="3:8" x14ac:dyDescent="0.15">
      <c r="C2516" s="53"/>
      <c r="D2516" s="50"/>
      <c r="E2516" s="51"/>
      <c r="F2516" s="52"/>
      <c r="G2516" s="53"/>
      <c r="H2516" s="53"/>
    </row>
    <row r="2517" spans="3:8" x14ac:dyDescent="0.15">
      <c r="C2517" s="53"/>
      <c r="D2517" s="50"/>
      <c r="E2517" s="51"/>
      <c r="F2517" s="52"/>
      <c r="G2517" s="53"/>
      <c r="H2517" s="53"/>
    </row>
    <row r="2518" spans="3:8" x14ac:dyDescent="0.15">
      <c r="C2518" s="53"/>
      <c r="D2518" s="50"/>
      <c r="E2518" s="51"/>
      <c r="F2518" s="52"/>
      <c r="G2518" s="53"/>
      <c r="H2518" s="53"/>
    </row>
    <row r="2519" spans="3:8" x14ac:dyDescent="0.15">
      <c r="C2519" s="53"/>
      <c r="D2519" s="50"/>
      <c r="E2519" s="51"/>
      <c r="F2519" s="52"/>
      <c r="G2519" s="53"/>
      <c r="H2519" s="53"/>
    </row>
    <row r="2520" spans="3:8" x14ac:dyDescent="0.15">
      <c r="C2520" s="53"/>
      <c r="D2520" s="50"/>
      <c r="E2520" s="51"/>
      <c r="F2520" s="52"/>
      <c r="G2520" s="53"/>
      <c r="H2520" s="53"/>
    </row>
    <row r="2521" spans="3:8" x14ac:dyDescent="0.15">
      <c r="C2521" s="53"/>
      <c r="D2521" s="50"/>
      <c r="E2521" s="51"/>
      <c r="F2521" s="52"/>
      <c r="G2521" s="53"/>
      <c r="H2521" s="53"/>
    </row>
    <row r="2522" spans="3:8" x14ac:dyDescent="0.15">
      <c r="C2522" s="53"/>
      <c r="D2522" s="50"/>
      <c r="E2522" s="51"/>
      <c r="F2522" s="52"/>
      <c r="G2522" s="53"/>
      <c r="H2522" s="53"/>
    </row>
    <row r="2523" spans="3:8" x14ac:dyDescent="0.15">
      <c r="C2523" s="53"/>
      <c r="D2523" s="50"/>
      <c r="E2523" s="51"/>
      <c r="F2523" s="52"/>
      <c r="G2523" s="53"/>
      <c r="H2523" s="53"/>
    </row>
    <row r="2524" spans="3:8" x14ac:dyDescent="0.15">
      <c r="C2524" s="53"/>
      <c r="D2524" s="50"/>
      <c r="E2524" s="51"/>
      <c r="F2524" s="52"/>
      <c r="G2524" s="53"/>
      <c r="H2524" s="53"/>
    </row>
    <row r="2525" spans="3:8" x14ac:dyDescent="0.15">
      <c r="C2525" s="53"/>
      <c r="D2525" s="50"/>
      <c r="E2525" s="51"/>
      <c r="F2525" s="52"/>
      <c r="G2525" s="53"/>
      <c r="H2525" s="53"/>
    </row>
    <row r="2526" spans="3:8" x14ac:dyDescent="0.15">
      <c r="C2526" s="53"/>
      <c r="D2526" s="50"/>
      <c r="E2526" s="51"/>
      <c r="F2526" s="52"/>
      <c r="G2526" s="53"/>
      <c r="H2526" s="53"/>
    </row>
    <row r="2527" spans="3:8" x14ac:dyDescent="0.15">
      <c r="C2527" s="53"/>
      <c r="D2527" s="50"/>
      <c r="E2527" s="51"/>
      <c r="F2527" s="52"/>
      <c r="G2527" s="53"/>
      <c r="H2527" s="53"/>
    </row>
    <row r="2528" spans="3:8" x14ac:dyDescent="0.15">
      <c r="C2528" s="53"/>
      <c r="D2528" s="50"/>
      <c r="E2528" s="51"/>
      <c r="F2528" s="52"/>
      <c r="G2528" s="53"/>
      <c r="H2528" s="53"/>
    </row>
    <row r="2529" spans="3:8" x14ac:dyDescent="0.15">
      <c r="C2529" s="53"/>
      <c r="D2529" s="50"/>
      <c r="E2529" s="51"/>
      <c r="F2529" s="52"/>
      <c r="G2529" s="53"/>
      <c r="H2529" s="53"/>
    </row>
    <row r="2530" spans="3:8" x14ac:dyDescent="0.15">
      <c r="C2530" s="53"/>
      <c r="D2530" s="50"/>
      <c r="E2530" s="51"/>
      <c r="F2530" s="52"/>
      <c r="G2530" s="53"/>
      <c r="H2530" s="53"/>
    </row>
    <row r="2531" spans="3:8" x14ac:dyDescent="0.15">
      <c r="C2531" s="53"/>
      <c r="D2531" s="50"/>
      <c r="E2531" s="51"/>
      <c r="F2531" s="52"/>
      <c r="G2531" s="53"/>
      <c r="H2531" s="53"/>
    </row>
    <row r="2532" spans="3:8" x14ac:dyDescent="0.15">
      <c r="C2532" s="53"/>
      <c r="D2532" s="50"/>
      <c r="E2532" s="51"/>
      <c r="F2532" s="52"/>
      <c r="G2532" s="53"/>
      <c r="H2532" s="53"/>
    </row>
    <row r="2533" spans="3:8" x14ac:dyDescent="0.15">
      <c r="C2533" s="53"/>
      <c r="D2533" s="50"/>
      <c r="E2533" s="51"/>
      <c r="F2533" s="52"/>
      <c r="G2533" s="53"/>
      <c r="H2533" s="53"/>
    </row>
    <row r="2534" spans="3:8" x14ac:dyDescent="0.15">
      <c r="C2534" s="53"/>
      <c r="D2534" s="50"/>
      <c r="E2534" s="51"/>
      <c r="F2534" s="52"/>
      <c r="G2534" s="53"/>
      <c r="H2534" s="53"/>
    </row>
    <row r="2535" spans="3:8" x14ac:dyDescent="0.15">
      <c r="C2535" s="53"/>
      <c r="D2535" s="50"/>
      <c r="E2535" s="51"/>
      <c r="F2535" s="52"/>
      <c r="G2535" s="53"/>
      <c r="H2535" s="53"/>
    </row>
    <row r="2536" spans="3:8" x14ac:dyDescent="0.15">
      <c r="C2536" s="53"/>
      <c r="D2536" s="50"/>
      <c r="E2536" s="51"/>
      <c r="F2536" s="52"/>
      <c r="G2536" s="53"/>
      <c r="H2536" s="53"/>
    </row>
    <row r="2537" spans="3:8" x14ac:dyDescent="0.15">
      <c r="C2537" s="53"/>
      <c r="D2537" s="50"/>
      <c r="E2537" s="51"/>
      <c r="F2537" s="52"/>
      <c r="G2537" s="53"/>
      <c r="H2537" s="53"/>
    </row>
    <row r="2538" spans="3:8" x14ac:dyDescent="0.15">
      <c r="C2538" s="53"/>
      <c r="D2538" s="50"/>
      <c r="E2538" s="51"/>
      <c r="F2538" s="52"/>
      <c r="G2538" s="53"/>
      <c r="H2538" s="53"/>
    </row>
    <row r="2539" spans="3:8" x14ac:dyDescent="0.15">
      <c r="C2539" s="53"/>
      <c r="D2539" s="50"/>
      <c r="E2539" s="51"/>
      <c r="F2539" s="52"/>
      <c r="G2539" s="53"/>
      <c r="H2539" s="53"/>
    </row>
    <row r="2540" spans="3:8" x14ac:dyDescent="0.15">
      <c r="C2540" s="53"/>
      <c r="D2540" s="50"/>
      <c r="E2540" s="51"/>
      <c r="F2540" s="52"/>
      <c r="G2540" s="53"/>
      <c r="H2540" s="53"/>
    </row>
    <row r="2541" spans="3:8" x14ac:dyDescent="0.15">
      <c r="C2541" s="53"/>
      <c r="D2541" s="50"/>
      <c r="E2541" s="51"/>
      <c r="F2541" s="52"/>
      <c r="G2541" s="53"/>
      <c r="H2541" s="53"/>
    </row>
    <row r="2542" spans="3:8" x14ac:dyDescent="0.15">
      <c r="C2542" s="53"/>
      <c r="D2542" s="50"/>
      <c r="E2542" s="51"/>
      <c r="F2542" s="52"/>
      <c r="G2542" s="53"/>
      <c r="H2542" s="53"/>
    </row>
    <row r="2543" spans="3:8" x14ac:dyDescent="0.15">
      <c r="C2543" s="53"/>
      <c r="D2543" s="50"/>
      <c r="E2543" s="51"/>
      <c r="F2543" s="52"/>
      <c r="G2543" s="53"/>
      <c r="H2543" s="53"/>
    </row>
    <row r="2544" spans="3:8" x14ac:dyDescent="0.15">
      <c r="C2544" s="53"/>
      <c r="D2544" s="50"/>
      <c r="E2544" s="51"/>
      <c r="F2544" s="52"/>
      <c r="G2544" s="53"/>
      <c r="H2544" s="53"/>
    </row>
    <row r="2545" spans="3:8" x14ac:dyDescent="0.15">
      <c r="C2545" s="53"/>
      <c r="D2545" s="50"/>
      <c r="E2545" s="51"/>
      <c r="F2545" s="52"/>
      <c r="G2545" s="53"/>
      <c r="H2545" s="53"/>
    </row>
    <row r="2546" spans="3:8" x14ac:dyDescent="0.15">
      <c r="C2546" s="53"/>
      <c r="D2546" s="50"/>
      <c r="E2546" s="51"/>
      <c r="F2546" s="52"/>
      <c r="G2546" s="53"/>
      <c r="H2546" s="53"/>
    </row>
    <row r="2547" spans="3:8" x14ac:dyDescent="0.15">
      <c r="C2547" s="53"/>
      <c r="D2547" s="50"/>
      <c r="E2547" s="51"/>
      <c r="F2547" s="52"/>
      <c r="G2547" s="53"/>
      <c r="H2547" s="53"/>
    </row>
    <row r="2548" spans="3:8" x14ac:dyDescent="0.15">
      <c r="C2548" s="53"/>
      <c r="D2548" s="50"/>
      <c r="E2548" s="51"/>
      <c r="F2548" s="52"/>
      <c r="G2548" s="53"/>
      <c r="H2548" s="53"/>
    </row>
    <row r="2549" spans="3:8" x14ac:dyDescent="0.15">
      <c r="C2549" s="53"/>
      <c r="D2549" s="50"/>
      <c r="E2549" s="51"/>
      <c r="F2549" s="52"/>
      <c r="G2549" s="53"/>
      <c r="H2549" s="53"/>
    </row>
    <row r="2550" spans="3:8" x14ac:dyDescent="0.15">
      <c r="C2550" s="53"/>
      <c r="D2550" s="50"/>
      <c r="E2550" s="51"/>
      <c r="F2550" s="52"/>
      <c r="G2550" s="53"/>
      <c r="H2550" s="53"/>
    </row>
    <row r="2551" spans="3:8" x14ac:dyDescent="0.15">
      <c r="C2551" s="53"/>
      <c r="D2551" s="50"/>
      <c r="E2551" s="51"/>
      <c r="F2551" s="52"/>
      <c r="G2551" s="53"/>
      <c r="H2551" s="53"/>
    </row>
    <row r="2552" spans="3:8" x14ac:dyDescent="0.15">
      <c r="C2552" s="53"/>
      <c r="D2552" s="50"/>
      <c r="E2552" s="51"/>
      <c r="F2552" s="52"/>
      <c r="G2552" s="53"/>
      <c r="H2552" s="53"/>
    </row>
    <row r="2553" spans="3:8" x14ac:dyDescent="0.15">
      <c r="C2553" s="53"/>
      <c r="D2553" s="50"/>
      <c r="E2553" s="51"/>
      <c r="F2553" s="52"/>
      <c r="G2553" s="53"/>
      <c r="H2553" s="53"/>
    </row>
    <row r="2554" spans="3:8" x14ac:dyDescent="0.15">
      <c r="C2554" s="53"/>
      <c r="D2554" s="50"/>
      <c r="E2554" s="51"/>
      <c r="F2554" s="52"/>
      <c r="G2554" s="53"/>
      <c r="H2554" s="53"/>
    </row>
    <row r="2555" spans="3:8" x14ac:dyDescent="0.15">
      <c r="C2555" s="53"/>
      <c r="D2555" s="50"/>
      <c r="E2555" s="51"/>
      <c r="F2555" s="52"/>
      <c r="G2555" s="53"/>
      <c r="H2555" s="53"/>
    </row>
    <row r="2556" spans="3:8" x14ac:dyDescent="0.15">
      <c r="C2556" s="53"/>
      <c r="D2556" s="50"/>
      <c r="E2556" s="51"/>
      <c r="F2556" s="52"/>
      <c r="G2556" s="53"/>
      <c r="H2556" s="53"/>
    </row>
    <row r="2557" spans="3:8" x14ac:dyDescent="0.15">
      <c r="C2557" s="53"/>
      <c r="D2557" s="50"/>
      <c r="E2557" s="51"/>
      <c r="F2557" s="52"/>
      <c r="G2557" s="53"/>
      <c r="H2557" s="53"/>
    </row>
    <row r="2558" spans="3:8" x14ac:dyDescent="0.15">
      <c r="C2558" s="53"/>
      <c r="D2558" s="50"/>
      <c r="E2558" s="51"/>
      <c r="F2558" s="52"/>
      <c r="G2558" s="53"/>
      <c r="H2558" s="53"/>
    </row>
    <row r="2559" spans="3:8" x14ac:dyDescent="0.15">
      <c r="C2559" s="53"/>
      <c r="D2559" s="50"/>
      <c r="E2559" s="51"/>
      <c r="F2559" s="52"/>
      <c r="G2559" s="53"/>
      <c r="H2559" s="53"/>
    </row>
    <row r="2560" spans="3:8" x14ac:dyDescent="0.15">
      <c r="C2560" s="53"/>
      <c r="D2560" s="50"/>
      <c r="E2560" s="51"/>
      <c r="F2560" s="52"/>
      <c r="G2560" s="53"/>
      <c r="H2560" s="53"/>
    </row>
    <row r="2561" spans="3:8" x14ac:dyDescent="0.15">
      <c r="C2561" s="53"/>
      <c r="D2561" s="50"/>
      <c r="E2561" s="51"/>
      <c r="F2561" s="52"/>
      <c r="G2561" s="53"/>
      <c r="H2561" s="53"/>
    </row>
    <row r="2562" spans="3:8" x14ac:dyDescent="0.15">
      <c r="C2562" s="53"/>
      <c r="D2562" s="50"/>
      <c r="E2562" s="51"/>
      <c r="F2562" s="52"/>
      <c r="G2562" s="53"/>
      <c r="H2562" s="53"/>
    </row>
    <row r="2563" spans="3:8" x14ac:dyDescent="0.15">
      <c r="C2563" s="53"/>
      <c r="D2563" s="50"/>
      <c r="E2563" s="51"/>
      <c r="F2563" s="52"/>
      <c r="G2563" s="53"/>
      <c r="H2563" s="53"/>
    </row>
    <row r="2564" spans="3:8" x14ac:dyDescent="0.15">
      <c r="C2564" s="53"/>
      <c r="D2564" s="50"/>
      <c r="E2564" s="51"/>
      <c r="F2564" s="52"/>
      <c r="G2564" s="53"/>
      <c r="H2564" s="53"/>
    </row>
    <row r="2565" spans="3:8" x14ac:dyDescent="0.15">
      <c r="C2565" s="53"/>
      <c r="D2565" s="50"/>
      <c r="E2565" s="51"/>
      <c r="F2565" s="52"/>
      <c r="G2565" s="53"/>
      <c r="H2565" s="53"/>
    </row>
    <row r="2566" spans="3:8" x14ac:dyDescent="0.15">
      <c r="C2566" s="53"/>
      <c r="D2566" s="50"/>
      <c r="E2566" s="51"/>
      <c r="F2566" s="52"/>
      <c r="G2566" s="53"/>
      <c r="H2566" s="53"/>
    </row>
    <row r="2567" spans="3:8" x14ac:dyDescent="0.15">
      <c r="C2567" s="53"/>
      <c r="D2567" s="50"/>
      <c r="E2567" s="51"/>
      <c r="F2567" s="52"/>
      <c r="G2567" s="53"/>
      <c r="H2567" s="53"/>
    </row>
    <row r="2568" spans="3:8" x14ac:dyDescent="0.15">
      <c r="C2568" s="53"/>
      <c r="D2568" s="50"/>
      <c r="E2568" s="51"/>
      <c r="F2568" s="52"/>
      <c r="G2568" s="53"/>
      <c r="H2568" s="53"/>
    </row>
    <row r="2569" spans="3:8" x14ac:dyDescent="0.15">
      <c r="C2569" s="53"/>
      <c r="D2569" s="50"/>
      <c r="E2569" s="51"/>
      <c r="F2569" s="52"/>
      <c r="G2569" s="53"/>
      <c r="H2569" s="53"/>
    </row>
    <row r="2570" spans="3:8" x14ac:dyDescent="0.15">
      <c r="C2570" s="53"/>
      <c r="D2570" s="50"/>
      <c r="E2570" s="51"/>
      <c r="F2570" s="52"/>
      <c r="G2570" s="53"/>
      <c r="H2570" s="53"/>
    </row>
    <row r="2571" spans="3:8" x14ac:dyDescent="0.15">
      <c r="C2571" s="53"/>
      <c r="D2571" s="50"/>
      <c r="E2571" s="51"/>
      <c r="F2571" s="52"/>
      <c r="G2571" s="53"/>
      <c r="H2571" s="53"/>
    </row>
    <row r="2572" spans="3:8" x14ac:dyDescent="0.15">
      <c r="C2572" s="53"/>
      <c r="D2572" s="50"/>
      <c r="E2572" s="51"/>
      <c r="F2572" s="52"/>
      <c r="G2572" s="53"/>
      <c r="H2572" s="53"/>
    </row>
    <row r="2573" spans="3:8" x14ac:dyDescent="0.15">
      <c r="C2573" s="53"/>
      <c r="D2573" s="50"/>
      <c r="E2573" s="51"/>
      <c r="F2573" s="52"/>
      <c r="G2573" s="53"/>
      <c r="H2573" s="53"/>
    </row>
    <row r="2574" spans="3:8" x14ac:dyDescent="0.15">
      <c r="C2574" s="53"/>
      <c r="D2574" s="50"/>
      <c r="E2574" s="51"/>
      <c r="F2574" s="52"/>
      <c r="G2574" s="53"/>
      <c r="H2574" s="53"/>
    </row>
    <row r="2575" spans="3:8" x14ac:dyDescent="0.15">
      <c r="C2575" s="53"/>
      <c r="D2575" s="50"/>
      <c r="E2575" s="51"/>
      <c r="F2575" s="52"/>
      <c r="G2575" s="53"/>
      <c r="H2575" s="53"/>
    </row>
    <row r="2576" spans="3:8" x14ac:dyDescent="0.15">
      <c r="C2576" s="53"/>
      <c r="D2576" s="50"/>
      <c r="E2576" s="51"/>
      <c r="F2576" s="52"/>
      <c r="G2576" s="53"/>
      <c r="H2576" s="53"/>
    </row>
    <row r="2577" spans="3:8" x14ac:dyDescent="0.15">
      <c r="C2577" s="53"/>
      <c r="D2577" s="50"/>
      <c r="E2577" s="51"/>
      <c r="F2577" s="52"/>
      <c r="G2577" s="53"/>
      <c r="H2577" s="53"/>
    </row>
    <row r="2578" spans="3:8" x14ac:dyDescent="0.15">
      <c r="C2578" s="53"/>
      <c r="D2578" s="50"/>
      <c r="E2578" s="51"/>
      <c r="F2578" s="52"/>
      <c r="G2578" s="53"/>
      <c r="H2578" s="53"/>
    </row>
    <row r="2579" spans="3:8" x14ac:dyDescent="0.15">
      <c r="C2579" s="53"/>
      <c r="D2579" s="50"/>
      <c r="E2579" s="51"/>
      <c r="F2579" s="52"/>
      <c r="G2579" s="53"/>
      <c r="H2579" s="53"/>
    </row>
    <row r="2580" spans="3:8" x14ac:dyDescent="0.15">
      <c r="C2580" s="53"/>
      <c r="D2580" s="50"/>
      <c r="E2580" s="51"/>
      <c r="F2580" s="52"/>
      <c r="G2580" s="53"/>
      <c r="H2580" s="53"/>
    </row>
    <row r="2581" spans="3:8" x14ac:dyDescent="0.15">
      <c r="C2581" s="53"/>
      <c r="D2581" s="50"/>
      <c r="E2581" s="51"/>
      <c r="F2581" s="52"/>
      <c r="G2581" s="53"/>
      <c r="H2581" s="53"/>
    </row>
    <row r="2582" spans="3:8" x14ac:dyDescent="0.15">
      <c r="C2582" s="53"/>
      <c r="D2582" s="50"/>
      <c r="E2582" s="51"/>
      <c r="F2582" s="52"/>
      <c r="G2582" s="53"/>
      <c r="H2582" s="53"/>
    </row>
    <row r="2583" spans="3:8" x14ac:dyDescent="0.15">
      <c r="C2583" s="53"/>
      <c r="D2583" s="50"/>
      <c r="E2583" s="51"/>
      <c r="F2583" s="52"/>
      <c r="G2583" s="53"/>
      <c r="H2583" s="53"/>
    </row>
    <row r="2584" spans="3:8" x14ac:dyDescent="0.15">
      <c r="C2584" s="53"/>
      <c r="D2584" s="50"/>
      <c r="E2584" s="51"/>
      <c r="F2584" s="52"/>
      <c r="G2584" s="53"/>
      <c r="H2584" s="53"/>
    </row>
    <row r="2585" spans="3:8" x14ac:dyDescent="0.15">
      <c r="C2585" s="53"/>
      <c r="D2585" s="50"/>
      <c r="E2585" s="51"/>
      <c r="F2585" s="52"/>
      <c r="G2585" s="53"/>
      <c r="H2585" s="53"/>
    </row>
    <row r="2586" spans="3:8" x14ac:dyDescent="0.15">
      <c r="C2586" s="53"/>
      <c r="D2586" s="50"/>
      <c r="E2586" s="51"/>
      <c r="F2586" s="52"/>
      <c r="G2586" s="53"/>
      <c r="H2586" s="53"/>
    </row>
    <row r="2587" spans="3:8" x14ac:dyDescent="0.15">
      <c r="C2587" s="53"/>
      <c r="D2587" s="50"/>
      <c r="E2587" s="51"/>
      <c r="F2587" s="52"/>
      <c r="G2587" s="53"/>
      <c r="H2587" s="53"/>
    </row>
    <row r="2588" spans="3:8" x14ac:dyDescent="0.15">
      <c r="C2588" s="53"/>
      <c r="D2588" s="50"/>
      <c r="E2588" s="51"/>
      <c r="F2588" s="52"/>
      <c r="G2588" s="53"/>
      <c r="H2588" s="53"/>
    </row>
    <row r="2589" spans="3:8" x14ac:dyDescent="0.15">
      <c r="C2589" s="53"/>
      <c r="D2589" s="50"/>
      <c r="E2589" s="51"/>
      <c r="F2589" s="52"/>
      <c r="G2589" s="53"/>
      <c r="H2589" s="53"/>
    </row>
    <row r="2590" spans="3:8" x14ac:dyDescent="0.15">
      <c r="C2590" s="53"/>
      <c r="D2590" s="50"/>
      <c r="E2590" s="51"/>
      <c r="F2590" s="52"/>
      <c r="G2590" s="53"/>
      <c r="H2590" s="53"/>
    </row>
    <row r="2591" spans="3:8" x14ac:dyDescent="0.15">
      <c r="C2591" s="53"/>
      <c r="D2591" s="50"/>
      <c r="E2591" s="51"/>
      <c r="F2591" s="52"/>
      <c r="G2591" s="53"/>
      <c r="H2591" s="53"/>
    </row>
    <row r="2592" spans="3:8" x14ac:dyDescent="0.15">
      <c r="C2592" s="53"/>
      <c r="D2592" s="50"/>
      <c r="E2592" s="51"/>
      <c r="F2592" s="52"/>
      <c r="G2592" s="53"/>
      <c r="H2592" s="53"/>
    </row>
    <row r="2593" spans="3:8" x14ac:dyDescent="0.15">
      <c r="C2593" s="53"/>
      <c r="D2593" s="50"/>
      <c r="E2593" s="51"/>
      <c r="F2593" s="52"/>
      <c r="G2593" s="53"/>
      <c r="H2593" s="53"/>
    </row>
    <row r="2594" spans="3:8" x14ac:dyDescent="0.15">
      <c r="C2594" s="53"/>
      <c r="D2594" s="50"/>
      <c r="E2594" s="51"/>
      <c r="F2594" s="52"/>
      <c r="G2594" s="53"/>
      <c r="H2594" s="53"/>
    </row>
    <row r="2595" spans="3:8" x14ac:dyDescent="0.15">
      <c r="C2595" s="53"/>
      <c r="D2595" s="50"/>
      <c r="E2595" s="51"/>
      <c r="F2595" s="52"/>
      <c r="G2595" s="53"/>
      <c r="H2595" s="53"/>
    </row>
    <row r="2596" spans="3:8" x14ac:dyDescent="0.15">
      <c r="C2596" s="53"/>
      <c r="D2596" s="50"/>
      <c r="E2596" s="51"/>
      <c r="F2596" s="52"/>
      <c r="G2596" s="53"/>
      <c r="H2596" s="53"/>
    </row>
    <row r="2597" spans="3:8" x14ac:dyDescent="0.15">
      <c r="C2597" s="53"/>
      <c r="D2597" s="50"/>
      <c r="E2597" s="51"/>
      <c r="F2597" s="52"/>
      <c r="G2597" s="53"/>
      <c r="H2597" s="53"/>
    </row>
    <row r="2598" spans="3:8" x14ac:dyDescent="0.15">
      <c r="C2598" s="53"/>
      <c r="D2598" s="50"/>
      <c r="E2598" s="51"/>
      <c r="F2598" s="52"/>
      <c r="G2598" s="53"/>
      <c r="H2598" s="53"/>
    </row>
    <row r="2599" spans="3:8" x14ac:dyDescent="0.15">
      <c r="C2599" s="53"/>
      <c r="D2599" s="50"/>
      <c r="E2599" s="51"/>
      <c r="F2599" s="52"/>
      <c r="G2599" s="53"/>
      <c r="H2599" s="53"/>
    </row>
    <row r="2600" spans="3:8" x14ac:dyDescent="0.15">
      <c r="C2600" s="53"/>
      <c r="D2600" s="50"/>
      <c r="E2600" s="51"/>
      <c r="F2600" s="52"/>
      <c r="G2600" s="53"/>
      <c r="H2600" s="53"/>
    </row>
    <row r="2601" spans="3:8" x14ac:dyDescent="0.15">
      <c r="C2601" s="53"/>
      <c r="D2601" s="50"/>
      <c r="E2601" s="51"/>
      <c r="F2601" s="52"/>
      <c r="G2601" s="53"/>
      <c r="H2601" s="53"/>
    </row>
    <row r="2602" spans="3:8" x14ac:dyDescent="0.15">
      <c r="C2602" s="53"/>
      <c r="D2602" s="50"/>
      <c r="E2602" s="51"/>
      <c r="F2602" s="52"/>
      <c r="G2602" s="53"/>
      <c r="H2602" s="53"/>
    </row>
    <row r="2603" spans="3:8" x14ac:dyDescent="0.15">
      <c r="C2603" s="53"/>
      <c r="D2603" s="50"/>
      <c r="E2603" s="51"/>
      <c r="F2603" s="52"/>
      <c r="G2603" s="53"/>
      <c r="H2603" s="53"/>
    </row>
    <row r="2604" spans="3:8" x14ac:dyDescent="0.15">
      <c r="C2604" s="53"/>
      <c r="D2604" s="50"/>
      <c r="E2604" s="51"/>
      <c r="F2604" s="52"/>
      <c r="G2604" s="53"/>
      <c r="H2604" s="53"/>
    </row>
    <row r="2605" spans="3:8" x14ac:dyDescent="0.15">
      <c r="C2605" s="53"/>
      <c r="D2605" s="50"/>
      <c r="E2605" s="51"/>
      <c r="F2605" s="52"/>
      <c r="G2605" s="53"/>
      <c r="H2605" s="53"/>
    </row>
    <row r="2606" spans="3:8" x14ac:dyDescent="0.15">
      <c r="C2606" s="53"/>
      <c r="D2606" s="50"/>
      <c r="E2606" s="51"/>
      <c r="F2606" s="52"/>
      <c r="G2606" s="53"/>
      <c r="H2606" s="53"/>
    </row>
    <row r="2607" spans="3:8" x14ac:dyDescent="0.15">
      <c r="C2607" s="53"/>
      <c r="D2607" s="50"/>
      <c r="E2607" s="51"/>
      <c r="F2607" s="52"/>
      <c r="G2607" s="53"/>
      <c r="H2607" s="53"/>
    </row>
    <row r="2608" spans="3:8" x14ac:dyDescent="0.15">
      <c r="C2608" s="53"/>
      <c r="D2608" s="50"/>
      <c r="E2608" s="51"/>
      <c r="F2608" s="52"/>
      <c r="G2608" s="53"/>
      <c r="H2608" s="53"/>
    </row>
    <row r="2609" spans="3:8" x14ac:dyDescent="0.15">
      <c r="C2609" s="53"/>
      <c r="D2609" s="50"/>
      <c r="E2609" s="51"/>
      <c r="F2609" s="52"/>
      <c r="G2609" s="53"/>
      <c r="H2609" s="53"/>
    </row>
    <row r="2610" spans="3:8" x14ac:dyDescent="0.15">
      <c r="C2610" s="53"/>
      <c r="D2610" s="50"/>
      <c r="E2610" s="51"/>
      <c r="F2610" s="52"/>
      <c r="G2610" s="53"/>
      <c r="H2610" s="53"/>
    </row>
    <row r="2611" spans="3:8" x14ac:dyDescent="0.15">
      <c r="C2611" s="53"/>
      <c r="D2611" s="50"/>
      <c r="E2611" s="51"/>
      <c r="F2611" s="52"/>
      <c r="G2611" s="53"/>
      <c r="H2611" s="53"/>
    </row>
    <row r="2612" spans="3:8" x14ac:dyDescent="0.15">
      <c r="C2612" s="53"/>
      <c r="D2612" s="50"/>
      <c r="E2612" s="51"/>
      <c r="F2612" s="52"/>
      <c r="G2612" s="53"/>
      <c r="H2612" s="53"/>
    </row>
    <row r="2613" spans="3:8" x14ac:dyDescent="0.15">
      <c r="C2613" s="53"/>
      <c r="D2613" s="50"/>
      <c r="E2613" s="51"/>
      <c r="F2613" s="52"/>
      <c r="G2613" s="53"/>
      <c r="H2613" s="53"/>
    </row>
    <row r="2614" spans="3:8" x14ac:dyDescent="0.15">
      <c r="C2614" s="53"/>
      <c r="D2614" s="50"/>
      <c r="E2614" s="51"/>
      <c r="F2614" s="52"/>
      <c r="G2614" s="53"/>
      <c r="H2614" s="53"/>
    </row>
    <row r="2615" spans="3:8" x14ac:dyDescent="0.15">
      <c r="C2615" s="53"/>
      <c r="D2615" s="50"/>
      <c r="E2615" s="51"/>
      <c r="F2615" s="52"/>
      <c r="G2615" s="53"/>
      <c r="H2615" s="53"/>
    </row>
    <row r="2616" spans="3:8" x14ac:dyDescent="0.15">
      <c r="C2616" s="53"/>
      <c r="D2616" s="50"/>
      <c r="E2616" s="51"/>
      <c r="F2616" s="52"/>
      <c r="G2616" s="53"/>
      <c r="H2616" s="53"/>
    </row>
    <row r="2617" spans="3:8" x14ac:dyDescent="0.15">
      <c r="C2617" s="53"/>
      <c r="D2617" s="50"/>
      <c r="E2617" s="51"/>
      <c r="F2617" s="52"/>
      <c r="G2617" s="53"/>
      <c r="H2617" s="53"/>
    </row>
    <row r="2618" spans="3:8" x14ac:dyDescent="0.15">
      <c r="C2618" s="53"/>
      <c r="D2618" s="50"/>
      <c r="E2618" s="51"/>
      <c r="F2618" s="52"/>
      <c r="G2618" s="53"/>
      <c r="H2618" s="53"/>
    </row>
    <row r="2619" spans="3:8" x14ac:dyDescent="0.15">
      <c r="C2619" s="53"/>
      <c r="D2619" s="50"/>
      <c r="E2619" s="51"/>
      <c r="F2619" s="52"/>
      <c r="G2619" s="53"/>
      <c r="H2619" s="53"/>
    </row>
    <row r="2620" spans="3:8" x14ac:dyDescent="0.15">
      <c r="C2620" s="53"/>
      <c r="D2620" s="50"/>
      <c r="E2620" s="51"/>
      <c r="F2620" s="52"/>
      <c r="G2620" s="53"/>
      <c r="H2620" s="53"/>
    </row>
    <row r="2621" spans="3:8" x14ac:dyDescent="0.15">
      <c r="C2621" s="53"/>
      <c r="D2621" s="50"/>
      <c r="E2621" s="51"/>
      <c r="F2621" s="52"/>
      <c r="G2621" s="53"/>
      <c r="H2621" s="53"/>
    </row>
    <row r="2622" spans="3:8" x14ac:dyDescent="0.15">
      <c r="C2622" s="53"/>
      <c r="D2622" s="50"/>
      <c r="E2622" s="51"/>
      <c r="F2622" s="52"/>
      <c r="G2622" s="53"/>
      <c r="H2622" s="53"/>
    </row>
    <row r="2623" spans="3:8" x14ac:dyDescent="0.15">
      <c r="C2623" s="53"/>
      <c r="D2623" s="50"/>
      <c r="E2623" s="51"/>
      <c r="F2623" s="52"/>
      <c r="G2623" s="53"/>
      <c r="H2623" s="53"/>
    </row>
    <row r="2624" spans="3:8" x14ac:dyDescent="0.15">
      <c r="C2624" s="53"/>
      <c r="D2624" s="50"/>
      <c r="E2624" s="51"/>
      <c r="F2624" s="52"/>
      <c r="G2624" s="53"/>
      <c r="H2624" s="53"/>
    </row>
    <row r="2625" spans="3:8" x14ac:dyDescent="0.15">
      <c r="C2625" s="53"/>
      <c r="D2625" s="50"/>
      <c r="E2625" s="51"/>
      <c r="F2625" s="52"/>
      <c r="G2625" s="53"/>
      <c r="H2625" s="53"/>
    </row>
    <row r="2626" spans="3:8" x14ac:dyDescent="0.15">
      <c r="C2626" s="53"/>
      <c r="D2626" s="50"/>
      <c r="E2626" s="51"/>
      <c r="F2626" s="52"/>
      <c r="G2626" s="53"/>
      <c r="H2626" s="53"/>
    </row>
    <row r="2627" spans="3:8" x14ac:dyDescent="0.15">
      <c r="C2627" s="53"/>
      <c r="D2627" s="50"/>
      <c r="E2627" s="51"/>
      <c r="F2627" s="52"/>
      <c r="G2627" s="53"/>
      <c r="H2627" s="53"/>
    </row>
    <row r="2628" spans="3:8" x14ac:dyDescent="0.15">
      <c r="C2628" s="53"/>
      <c r="D2628" s="50"/>
      <c r="E2628" s="51"/>
      <c r="F2628" s="52"/>
      <c r="G2628" s="53"/>
      <c r="H2628" s="53"/>
    </row>
    <row r="2629" spans="3:8" x14ac:dyDescent="0.15">
      <c r="C2629" s="53"/>
      <c r="D2629" s="50"/>
      <c r="E2629" s="51"/>
      <c r="F2629" s="52"/>
      <c r="G2629" s="53"/>
      <c r="H2629" s="53"/>
    </row>
    <row r="2630" spans="3:8" x14ac:dyDescent="0.15">
      <c r="C2630" s="53"/>
      <c r="D2630" s="50"/>
      <c r="E2630" s="51"/>
      <c r="F2630" s="52"/>
      <c r="G2630" s="53"/>
      <c r="H2630" s="53"/>
    </row>
    <row r="2631" spans="3:8" x14ac:dyDescent="0.15">
      <c r="C2631" s="53"/>
      <c r="D2631" s="50"/>
      <c r="E2631" s="51"/>
      <c r="F2631" s="52"/>
      <c r="G2631" s="53"/>
      <c r="H2631" s="53"/>
    </row>
    <row r="2632" spans="3:8" x14ac:dyDescent="0.15">
      <c r="C2632" s="53"/>
      <c r="D2632" s="50"/>
      <c r="E2632" s="51"/>
      <c r="F2632" s="52"/>
      <c r="G2632" s="53"/>
      <c r="H2632" s="53"/>
    </row>
    <row r="2633" spans="3:8" x14ac:dyDescent="0.15">
      <c r="C2633" s="53"/>
      <c r="D2633" s="50"/>
      <c r="E2633" s="51"/>
      <c r="F2633" s="52"/>
      <c r="G2633" s="53"/>
      <c r="H2633" s="53"/>
    </row>
    <row r="2634" spans="3:8" x14ac:dyDescent="0.15">
      <c r="C2634" s="53"/>
      <c r="D2634" s="50"/>
      <c r="E2634" s="51"/>
      <c r="F2634" s="52"/>
      <c r="G2634" s="53"/>
      <c r="H2634" s="53"/>
    </row>
    <row r="2635" spans="3:8" x14ac:dyDescent="0.15">
      <c r="C2635" s="53"/>
      <c r="D2635" s="50"/>
      <c r="E2635" s="51"/>
      <c r="F2635" s="52"/>
      <c r="G2635" s="53"/>
      <c r="H2635" s="53"/>
    </row>
    <row r="2636" spans="3:8" x14ac:dyDescent="0.15">
      <c r="C2636" s="53"/>
      <c r="D2636" s="50"/>
      <c r="E2636" s="51"/>
      <c r="F2636" s="52"/>
      <c r="G2636" s="53"/>
      <c r="H2636" s="53"/>
    </row>
    <row r="2637" spans="3:8" x14ac:dyDescent="0.15">
      <c r="C2637" s="53"/>
      <c r="D2637" s="50"/>
      <c r="E2637" s="51"/>
      <c r="F2637" s="52"/>
      <c r="G2637" s="53"/>
      <c r="H2637" s="53"/>
    </row>
    <row r="2638" spans="3:8" x14ac:dyDescent="0.15">
      <c r="C2638" s="53"/>
      <c r="D2638" s="50"/>
      <c r="E2638" s="51"/>
      <c r="F2638" s="52"/>
      <c r="G2638" s="53"/>
      <c r="H2638" s="53"/>
    </row>
    <row r="2639" spans="3:8" x14ac:dyDescent="0.15">
      <c r="C2639" s="53"/>
      <c r="D2639" s="50"/>
      <c r="E2639" s="51"/>
      <c r="F2639" s="52"/>
      <c r="G2639" s="53"/>
      <c r="H2639" s="53"/>
    </row>
    <row r="2640" spans="3:8" x14ac:dyDescent="0.15">
      <c r="C2640" s="53"/>
      <c r="D2640" s="50"/>
      <c r="E2640" s="51"/>
      <c r="F2640" s="52"/>
      <c r="G2640" s="53"/>
      <c r="H2640" s="53"/>
    </row>
    <row r="2641" spans="3:8" x14ac:dyDescent="0.15">
      <c r="C2641" s="53"/>
      <c r="D2641" s="50"/>
      <c r="E2641" s="51"/>
      <c r="F2641" s="52"/>
      <c r="G2641" s="53"/>
      <c r="H2641" s="53"/>
    </row>
    <row r="2642" spans="3:8" x14ac:dyDescent="0.15">
      <c r="C2642" s="53"/>
      <c r="D2642" s="50"/>
      <c r="E2642" s="51"/>
      <c r="F2642" s="52"/>
      <c r="G2642" s="53"/>
      <c r="H2642" s="53"/>
    </row>
    <row r="2643" spans="3:8" x14ac:dyDescent="0.15">
      <c r="C2643" s="53"/>
      <c r="D2643" s="50"/>
      <c r="E2643" s="51"/>
      <c r="F2643" s="52"/>
      <c r="G2643" s="53"/>
      <c r="H2643" s="53"/>
    </row>
    <row r="2644" spans="3:8" x14ac:dyDescent="0.15">
      <c r="C2644" s="53"/>
      <c r="D2644" s="50"/>
      <c r="E2644" s="51"/>
      <c r="F2644" s="52"/>
      <c r="G2644" s="53"/>
      <c r="H2644" s="53"/>
    </row>
    <row r="2645" spans="3:8" x14ac:dyDescent="0.15">
      <c r="C2645" s="53"/>
      <c r="D2645" s="50"/>
      <c r="E2645" s="51"/>
      <c r="F2645" s="52"/>
      <c r="G2645" s="53"/>
      <c r="H2645" s="53"/>
    </row>
    <row r="2646" spans="3:8" x14ac:dyDescent="0.15">
      <c r="C2646" s="53"/>
      <c r="D2646" s="50"/>
      <c r="E2646" s="51"/>
      <c r="F2646" s="52"/>
      <c r="G2646" s="53"/>
      <c r="H2646" s="53"/>
    </row>
    <row r="2647" spans="3:8" x14ac:dyDescent="0.15">
      <c r="C2647" s="53"/>
      <c r="D2647" s="50"/>
      <c r="E2647" s="51"/>
      <c r="F2647" s="52"/>
      <c r="G2647" s="53"/>
      <c r="H2647" s="53"/>
    </row>
    <row r="2648" spans="3:8" x14ac:dyDescent="0.15">
      <c r="C2648" s="53"/>
      <c r="D2648" s="50"/>
      <c r="E2648" s="51"/>
      <c r="F2648" s="52"/>
      <c r="G2648" s="53"/>
      <c r="H2648" s="53"/>
    </row>
    <row r="2649" spans="3:8" x14ac:dyDescent="0.15">
      <c r="C2649" s="53"/>
      <c r="D2649" s="50"/>
      <c r="E2649" s="51"/>
      <c r="F2649" s="52"/>
      <c r="G2649" s="53"/>
      <c r="H2649" s="53"/>
    </row>
    <row r="2650" spans="3:8" x14ac:dyDescent="0.15">
      <c r="C2650" s="53"/>
      <c r="D2650" s="50"/>
      <c r="E2650" s="51"/>
      <c r="F2650" s="52"/>
      <c r="G2650" s="53"/>
      <c r="H2650" s="53"/>
    </row>
    <row r="2651" spans="3:8" x14ac:dyDescent="0.15">
      <c r="C2651" s="53"/>
      <c r="D2651" s="50"/>
      <c r="E2651" s="51"/>
      <c r="F2651" s="52"/>
      <c r="G2651" s="53"/>
      <c r="H2651" s="53"/>
    </row>
    <row r="2652" spans="3:8" x14ac:dyDescent="0.15">
      <c r="C2652" s="53"/>
      <c r="D2652" s="50"/>
      <c r="E2652" s="51"/>
      <c r="F2652" s="52"/>
      <c r="G2652" s="53"/>
      <c r="H2652" s="53"/>
    </row>
    <row r="2653" spans="3:8" x14ac:dyDescent="0.15">
      <c r="C2653" s="53"/>
      <c r="D2653" s="50"/>
      <c r="E2653" s="51"/>
      <c r="F2653" s="52"/>
      <c r="G2653" s="53"/>
      <c r="H2653" s="53"/>
    </row>
    <row r="2654" spans="3:8" x14ac:dyDescent="0.15">
      <c r="C2654" s="53"/>
      <c r="D2654" s="50"/>
      <c r="E2654" s="51"/>
      <c r="F2654" s="52"/>
      <c r="G2654" s="53"/>
      <c r="H2654" s="53"/>
    </row>
    <row r="2655" spans="3:8" x14ac:dyDescent="0.15">
      <c r="C2655" s="53"/>
      <c r="D2655" s="50"/>
      <c r="E2655" s="51"/>
      <c r="F2655" s="52"/>
      <c r="G2655" s="53"/>
      <c r="H2655" s="53"/>
    </row>
    <row r="2656" spans="3:8" x14ac:dyDescent="0.15">
      <c r="C2656" s="53"/>
      <c r="D2656" s="50"/>
      <c r="E2656" s="51"/>
      <c r="F2656" s="52"/>
      <c r="G2656" s="53"/>
      <c r="H2656" s="53"/>
    </row>
    <row r="2657" spans="3:8" x14ac:dyDescent="0.15">
      <c r="C2657" s="53"/>
      <c r="D2657" s="50"/>
      <c r="E2657" s="51"/>
      <c r="F2657" s="52"/>
      <c r="G2657" s="53"/>
      <c r="H2657" s="53"/>
    </row>
    <row r="2658" spans="3:8" x14ac:dyDescent="0.15">
      <c r="C2658" s="53"/>
      <c r="D2658" s="50"/>
      <c r="E2658" s="51"/>
      <c r="F2658" s="52"/>
      <c r="G2658" s="53"/>
      <c r="H2658" s="53"/>
    </row>
    <row r="2659" spans="3:8" x14ac:dyDescent="0.15">
      <c r="C2659" s="53"/>
      <c r="D2659" s="50"/>
      <c r="E2659" s="51"/>
      <c r="F2659" s="52"/>
      <c r="G2659" s="53"/>
      <c r="H2659" s="53"/>
    </row>
    <row r="2660" spans="3:8" x14ac:dyDescent="0.15">
      <c r="C2660" s="53"/>
      <c r="D2660" s="50"/>
      <c r="E2660" s="51"/>
      <c r="F2660" s="52"/>
      <c r="G2660" s="53"/>
      <c r="H2660" s="53"/>
    </row>
    <row r="2661" spans="3:8" x14ac:dyDescent="0.15">
      <c r="C2661" s="53"/>
      <c r="D2661" s="50"/>
      <c r="E2661" s="51"/>
      <c r="F2661" s="52"/>
      <c r="G2661" s="53"/>
      <c r="H2661" s="53"/>
    </row>
    <row r="2662" spans="3:8" x14ac:dyDescent="0.15">
      <c r="C2662" s="53"/>
      <c r="D2662" s="50"/>
      <c r="E2662" s="51"/>
      <c r="F2662" s="52"/>
      <c r="G2662" s="53"/>
      <c r="H2662" s="53"/>
    </row>
    <row r="2663" spans="3:8" x14ac:dyDescent="0.15">
      <c r="C2663" s="53"/>
      <c r="D2663" s="50"/>
      <c r="E2663" s="51"/>
      <c r="F2663" s="52"/>
      <c r="G2663" s="53"/>
      <c r="H2663" s="53"/>
    </row>
    <row r="2664" spans="3:8" x14ac:dyDescent="0.15">
      <c r="C2664" s="53"/>
      <c r="D2664" s="50"/>
      <c r="E2664" s="51"/>
      <c r="F2664" s="52"/>
      <c r="G2664" s="53"/>
      <c r="H2664" s="53"/>
    </row>
    <row r="2665" spans="3:8" x14ac:dyDescent="0.15">
      <c r="C2665" s="53"/>
      <c r="D2665" s="50"/>
      <c r="E2665" s="51"/>
      <c r="F2665" s="52"/>
      <c r="G2665" s="53"/>
      <c r="H2665" s="53"/>
    </row>
    <row r="2666" spans="3:8" x14ac:dyDescent="0.15">
      <c r="C2666" s="53"/>
      <c r="D2666" s="50"/>
      <c r="E2666" s="51"/>
      <c r="F2666" s="52"/>
      <c r="G2666" s="53"/>
      <c r="H2666" s="53"/>
    </row>
    <row r="2667" spans="3:8" x14ac:dyDescent="0.15">
      <c r="C2667" s="53"/>
      <c r="D2667" s="50"/>
      <c r="E2667" s="51"/>
      <c r="F2667" s="52"/>
      <c r="G2667" s="53"/>
      <c r="H2667" s="53"/>
    </row>
    <row r="2668" spans="3:8" x14ac:dyDescent="0.15">
      <c r="C2668" s="53"/>
      <c r="D2668" s="50"/>
      <c r="E2668" s="51"/>
      <c r="F2668" s="52"/>
      <c r="G2668" s="53"/>
      <c r="H2668" s="53"/>
    </row>
    <row r="2669" spans="3:8" x14ac:dyDescent="0.15">
      <c r="C2669" s="53"/>
      <c r="D2669" s="50"/>
      <c r="E2669" s="51"/>
      <c r="F2669" s="52"/>
      <c r="G2669" s="53"/>
      <c r="H2669" s="53"/>
    </row>
    <row r="2670" spans="3:8" x14ac:dyDescent="0.15">
      <c r="C2670" s="53"/>
      <c r="D2670" s="50"/>
      <c r="E2670" s="51"/>
      <c r="F2670" s="52"/>
      <c r="G2670" s="53"/>
      <c r="H2670" s="53"/>
    </row>
    <row r="2671" spans="3:8" x14ac:dyDescent="0.15">
      <c r="C2671" s="53"/>
      <c r="D2671" s="50"/>
      <c r="E2671" s="51"/>
      <c r="F2671" s="52"/>
      <c r="G2671" s="53"/>
      <c r="H2671" s="53"/>
    </row>
    <row r="2672" spans="3:8" x14ac:dyDescent="0.15">
      <c r="C2672" s="53"/>
      <c r="D2672" s="50"/>
      <c r="E2672" s="51"/>
      <c r="F2672" s="52"/>
      <c r="G2672" s="53"/>
      <c r="H2672" s="53"/>
    </row>
    <row r="2673" spans="3:8" x14ac:dyDescent="0.15">
      <c r="C2673" s="53"/>
      <c r="D2673" s="50"/>
      <c r="E2673" s="51"/>
      <c r="F2673" s="52"/>
      <c r="G2673" s="53"/>
      <c r="H2673" s="53"/>
    </row>
    <row r="2674" spans="3:8" x14ac:dyDescent="0.15">
      <c r="C2674" s="53"/>
      <c r="D2674" s="50"/>
      <c r="E2674" s="51"/>
      <c r="F2674" s="52"/>
      <c r="G2674" s="53"/>
      <c r="H2674" s="53"/>
    </row>
    <row r="2675" spans="3:8" x14ac:dyDescent="0.15">
      <c r="C2675" s="53"/>
      <c r="D2675" s="50"/>
      <c r="E2675" s="51"/>
      <c r="F2675" s="52"/>
      <c r="G2675" s="53"/>
      <c r="H2675" s="53"/>
    </row>
    <row r="2676" spans="3:8" x14ac:dyDescent="0.15">
      <c r="C2676" s="53"/>
      <c r="D2676" s="50"/>
      <c r="E2676" s="51"/>
      <c r="F2676" s="52"/>
      <c r="G2676" s="53"/>
      <c r="H2676" s="53"/>
    </row>
    <row r="2677" spans="3:8" x14ac:dyDescent="0.15">
      <c r="C2677" s="53"/>
      <c r="D2677" s="50"/>
      <c r="E2677" s="51"/>
      <c r="F2677" s="52"/>
      <c r="G2677" s="53"/>
      <c r="H2677" s="53"/>
    </row>
    <row r="2678" spans="3:8" x14ac:dyDescent="0.15">
      <c r="C2678" s="53"/>
      <c r="D2678" s="50"/>
      <c r="E2678" s="51"/>
      <c r="F2678" s="52"/>
      <c r="G2678" s="53"/>
      <c r="H2678" s="53"/>
    </row>
    <row r="2679" spans="3:8" x14ac:dyDescent="0.15">
      <c r="C2679" s="53"/>
      <c r="D2679" s="50"/>
      <c r="E2679" s="51"/>
      <c r="F2679" s="52"/>
      <c r="G2679" s="53"/>
      <c r="H2679" s="53"/>
    </row>
    <row r="2680" spans="3:8" x14ac:dyDescent="0.15">
      <c r="C2680" s="53"/>
      <c r="D2680" s="50"/>
      <c r="E2680" s="51"/>
      <c r="F2680" s="52"/>
      <c r="G2680" s="53"/>
      <c r="H2680" s="53"/>
    </row>
    <row r="2681" spans="3:8" x14ac:dyDescent="0.15">
      <c r="C2681" s="53"/>
      <c r="D2681" s="50"/>
      <c r="E2681" s="51"/>
      <c r="F2681" s="52"/>
      <c r="G2681" s="53"/>
      <c r="H2681" s="53"/>
    </row>
    <row r="2682" spans="3:8" x14ac:dyDescent="0.15">
      <c r="C2682" s="53"/>
      <c r="D2682" s="50"/>
      <c r="E2682" s="51"/>
      <c r="F2682" s="52"/>
      <c r="G2682" s="53"/>
      <c r="H2682" s="53"/>
    </row>
    <row r="2683" spans="3:8" x14ac:dyDescent="0.15">
      <c r="C2683" s="53"/>
      <c r="D2683" s="50"/>
      <c r="E2683" s="51"/>
      <c r="F2683" s="52"/>
      <c r="G2683" s="53"/>
      <c r="H2683" s="53"/>
    </row>
    <row r="2684" spans="3:8" x14ac:dyDescent="0.15">
      <c r="C2684" s="53"/>
      <c r="D2684" s="50"/>
      <c r="E2684" s="51"/>
      <c r="F2684" s="52"/>
      <c r="G2684" s="53"/>
      <c r="H2684" s="53"/>
    </row>
    <row r="2685" spans="3:8" x14ac:dyDescent="0.15">
      <c r="C2685" s="53"/>
      <c r="D2685" s="50"/>
      <c r="E2685" s="51"/>
      <c r="F2685" s="52"/>
      <c r="G2685" s="53"/>
      <c r="H2685" s="53"/>
    </row>
    <row r="2686" spans="3:8" x14ac:dyDescent="0.15">
      <c r="C2686" s="53"/>
      <c r="D2686" s="50"/>
      <c r="E2686" s="51"/>
      <c r="F2686" s="52"/>
      <c r="G2686" s="53"/>
      <c r="H2686" s="53"/>
    </row>
    <row r="2687" spans="3:8" x14ac:dyDescent="0.15">
      <c r="C2687" s="53"/>
      <c r="D2687" s="50"/>
      <c r="E2687" s="51"/>
      <c r="F2687" s="52"/>
      <c r="G2687" s="53"/>
      <c r="H2687" s="53"/>
    </row>
    <row r="2688" spans="3:8" x14ac:dyDescent="0.15">
      <c r="C2688" s="53"/>
      <c r="D2688" s="50"/>
      <c r="E2688" s="51"/>
      <c r="F2688" s="52"/>
      <c r="G2688" s="53"/>
      <c r="H2688" s="53"/>
    </row>
    <row r="2689" spans="3:8" x14ac:dyDescent="0.15">
      <c r="C2689" s="53"/>
      <c r="D2689" s="50"/>
      <c r="E2689" s="51"/>
      <c r="F2689" s="52"/>
      <c r="G2689" s="53"/>
      <c r="H2689" s="53"/>
    </row>
    <row r="2690" spans="3:8" x14ac:dyDescent="0.15">
      <c r="C2690" s="53"/>
      <c r="D2690" s="50"/>
      <c r="E2690" s="51"/>
      <c r="F2690" s="52"/>
      <c r="G2690" s="53"/>
      <c r="H2690" s="53"/>
    </row>
    <row r="2691" spans="3:8" x14ac:dyDescent="0.15">
      <c r="C2691" s="53"/>
      <c r="D2691" s="50"/>
      <c r="E2691" s="51"/>
      <c r="F2691" s="52"/>
      <c r="G2691" s="53"/>
      <c r="H2691" s="53"/>
    </row>
    <row r="2692" spans="3:8" x14ac:dyDescent="0.15">
      <c r="C2692" s="53"/>
      <c r="D2692" s="50"/>
      <c r="E2692" s="51"/>
      <c r="F2692" s="52"/>
      <c r="G2692" s="53"/>
      <c r="H2692" s="53"/>
    </row>
    <row r="2693" spans="3:8" x14ac:dyDescent="0.15">
      <c r="C2693" s="53"/>
      <c r="D2693" s="50"/>
      <c r="E2693" s="51"/>
      <c r="F2693" s="52"/>
      <c r="G2693" s="53"/>
      <c r="H2693" s="53"/>
    </row>
    <row r="2694" spans="3:8" x14ac:dyDescent="0.15">
      <c r="C2694" s="53"/>
      <c r="D2694" s="50"/>
      <c r="E2694" s="51"/>
      <c r="F2694" s="52"/>
      <c r="G2694" s="53"/>
      <c r="H2694" s="53"/>
    </row>
    <row r="2695" spans="3:8" x14ac:dyDescent="0.15">
      <c r="C2695" s="53"/>
      <c r="D2695" s="50"/>
      <c r="E2695" s="51"/>
      <c r="F2695" s="52"/>
      <c r="G2695" s="53"/>
      <c r="H2695" s="53"/>
    </row>
    <row r="2696" spans="3:8" x14ac:dyDescent="0.15">
      <c r="C2696" s="53"/>
      <c r="D2696" s="50"/>
      <c r="E2696" s="51"/>
      <c r="F2696" s="52"/>
      <c r="G2696" s="53"/>
      <c r="H2696" s="53"/>
    </row>
    <row r="2697" spans="3:8" x14ac:dyDescent="0.15">
      <c r="C2697" s="53"/>
      <c r="D2697" s="50"/>
      <c r="E2697" s="51"/>
      <c r="F2697" s="52"/>
      <c r="G2697" s="53"/>
      <c r="H2697" s="53"/>
    </row>
    <row r="2698" spans="3:8" x14ac:dyDescent="0.15">
      <c r="C2698" s="53"/>
      <c r="D2698" s="50"/>
      <c r="E2698" s="51"/>
      <c r="F2698" s="52"/>
      <c r="G2698" s="53"/>
      <c r="H2698" s="53"/>
    </row>
    <row r="2699" spans="3:8" x14ac:dyDescent="0.15">
      <c r="C2699" s="53"/>
      <c r="D2699" s="50"/>
      <c r="E2699" s="51"/>
      <c r="F2699" s="52"/>
      <c r="G2699" s="53"/>
      <c r="H2699" s="53"/>
    </row>
    <row r="2700" spans="3:8" x14ac:dyDescent="0.15">
      <c r="C2700" s="53"/>
      <c r="D2700" s="50"/>
      <c r="E2700" s="51"/>
      <c r="F2700" s="52"/>
      <c r="G2700" s="53"/>
      <c r="H2700" s="53"/>
    </row>
    <row r="2701" spans="3:8" x14ac:dyDescent="0.15">
      <c r="C2701" s="53"/>
      <c r="D2701" s="50"/>
      <c r="E2701" s="51"/>
      <c r="F2701" s="52"/>
      <c r="G2701" s="53"/>
      <c r="H2701" s="53"/>
    </row>
    <row r="2702" spans="3:8" x14ac:dyDescent="0.15">
      <c r="C2702" s="53"/>
      <c r="D2702" s="50"/>
      <c r="E2702" s="51"/>
      <c r="F2702" s="52"/>
      <c r="G2702" s="53"/>
      <c r="H2702" s="53"/>
    </row>
    <row r="2703" spans="3:8" x14ac:dyDescent="0.15">
      <c r="C2703" s="53"/>
      <c r="D2703" s="50"/>
      <c r="E2703" s="51"/>
      <c r="F2703" s="52"/>
      <c r="G2703" s="53"/>
      <c r="H2703" s="53"/>
    </row>
    <row r="2704" spans="3:8" x14ac:dyDescent="0.15">
      <c r="C2704" s="53"/>
      <c r="D2704" s="50"/>
      <c r="E2704" s="51"/>
      <c r="F2704" s="52"/>
      <c r="G2704" s="53"/>
      <c r="H2704" s="53"/>
    </row>
    <row r="2705" spans="3:8" x14ac:dyDescent="0.15">
      <c r="C2705" s="53"/>
      <c r="D2705" s="50"/>
      <c r="E2705" s="51"/>
      <c r="F2705" s="52"/>
      <c r="G2705" s="53"/>
      <c r="H2705" s="53"/>
    </row>
    <row r="2706" spans="3:8" x14ac:dyDescent="0.15">
      <c r="C2706" s="53"/>
      <c r="D2706" s="50"/>
      <c r="E2706" s="51"/>
      <c r="F2706" s="52"/>
      <c r="G2706" s="53"/>
      <c r="H2706" s="53"/>
    </row>
    <row r="2707" spans="3:8" x14ac:dyDescent="0.15">
      <c r="C2707" s="53"/>
      <c r="D2707" s="50"/>
      <c r="E2707" s="51"/>
      <c r="F2707" s="52"/>
      <c r="G2707" s="53"/>
      <c r="H2707" s="53"/>
    </row>
    <row r="2708" spans="3:8" x14ac:dyDescent="0.15">
      <c r="C2708" s="53"/>
      <c r="D2708" s="50"/>
      <c r="E2708" s="51"/>
      <c r="F2708" s="52"/>
      <c r="G2708" s="53"/>
      <c r="H2708" s="53"/>
    </row>
    <row r="2709" spans="3:8" x14ac:dyDescent="0.15">
      <c r="C2709" s="53"/>
      <c r="D2709" s="50"/>
      <c r="E2709" s="51"/>
      <c r="F2709" s="52"/>
      <c r="G2709" s="53"/>
      <c r="H2709" s="53"/>
    </row>
    <row r="2710" spans="3:8" x14ac:dyDescent="0.15">
      <c r="C2710" s="53"/>
      <c r="D2710" s="50"/>
      <c r="E2710" s="51"/>
      <c r="F2710" s="52"/>
      <c r="G2710" s="53"/>
      <c r="H2710" s="53"/>
    </row>
    <row r="2711" spans="3:8" x14ac:dyDescent="0.15">
      <c r="C2711" s="53"/>
      <c r="D2711" s="50"/>
      <c r="E2711" s="51"/>
      <c r="F2711" s="52"/>
      <c r="G2711" s="53"/>
      <c r="H2711" s="53"/>
    </row>
    <row r="2712" spans="3:8" x14ac:dyDescent="0.15">
      <c r="C2712" s="53"/>
      <c r="D2712" s="50"/>
      <c r="E2712" s="51"/>
      <c r="F2712" s="52"/>
      <c r="G2712" s="53"/>
      <c r="H2712" s="53"/>
    </row>
    <row r="2713" spans="3:8" x14ac:dyDescent="0.15">
      <c r="C2713" s="53"/>
      <c r="D2713" s="50"/>
      <c r="E2713" s="51"/>
      <c r="F2713" s="52"/>
      <c r="G2713" s="53"/>
      <c r="H2713" s="53"/>
    </row>
    <row r="2714" spans="3:8" x14ac:dyDescent="0.15">
      <c r="C2714" s="53"/>
      <c r="D2714" s="50"/>
      <c r="E2714" s="51"/>
      <c r="F2714" s="52"/>
      <c r="G2714" s="53"/>
      <c r="H2714" s="53"/>
    </row>
    <row r="2715" spans="3:8" x14ac:dyDescent="0.15">
      <c r="C2715" s="53"/>
      <c r="D2715" s="50"/>
      <c r="E2715" s="51"/>
      <c r="F2715" s="52"/>
      <c r="G2715" s="53"/>
      <c r="H2715" s="53"/>
    </row>
    <row r="2716" spans="3:8" x14ac:dyDescent="0.15">
      <c r="C2716" s="53"/>
      <c r="D2716" s="50"/>
      <c r="E2716" s="51"/>
      <c r="F2716" s="52"/>
      <c r="G2716" s="53"/>
      <c r="H2716" s="53"/>
    </row>
    <row r="2717" spans="3:8" x14ac:dyDescent="0.15">
      <c r="C2717" s="53"/>
      <c r="D2717" s="50"/>
      <c r="E2717" s="51"/>
      <c r="F2717" s="52"/>
      <c r="G2717" s="53"/>
      <c r="H2717" s="53"/>
    </row>
    <row r="2718" spans="3:8" x14ac:dyDescent="0.15">
      <c r="C2718" s="53"/>
      <c r="D2718" s="50"/>
      <c r="E2718" s="51"/>
      <c r="F2718" s="52"/>
      <c r="G2718" s="53"/>
      <c r="H2718" s="53"/>
    </row>
    <row r="2719" spans="3:8" x14ac:dyDescent="0.15">
      <c r="C2719" s="53"/>
      <c r="D2719" s="50"/>
      <c r="E2719" s="51"/>
      <c r="F2719" s="52"/>
      <c r="G2719" s="53"/>
      <c r="H2719" s="53"/>
    </row>
    <row r="2720" spans="3:8" x14ac:dyDescent="0.15">
      <c r="C2720" s="53"/>
      <c r="D2720" s="50"/>
      <c r="E2720" s="51"/>
      <c r="F2720" s="52"/>
      <c r="G2720" s="53"/>
      <c r="H2720" s="53"/>
    </row>
    <row r="2721" spans="3:8" x14ac:dyDescent="0.15">
      <c r="C2721" s="53"/>
      <c r="D2721" s="50"/>
      <c r="E2721" s="51"/>
      <c r="F2721" s="52"/>
      <c r="G2721" s="53"/>
      <c r="H2721" s="53"/>
    </row>
    <row r="2722" spans="3:8" x14ac:dyDescent="0.15">
      <c r="C2722" s="53"/>
      <c r="D2722" s="50"/>
      <c r="E2722" s="51"/>
      <c r="F2722" s="52"/>
      <c r="G2722" s="53"/>
      <c r="H2722" s="53"/>
    </row>
    <row r="2723" spans="3:8" x14ac:dyDescent="0.15">
      <c r="C2723" s="53"/>
      <c r="D2723" s="50"/>
      <c r="E2723" s="51"/>
      <c r="F2723" s="52"/>
      <c r="G2723" s="53"/>
      <c r="H2723" s="53"/>
    </row>
    <row r="2724" spans="3:8" x14ac:dyDescent="0.15">
      <c r="C2724" s="53"/>
      <c r="D2724" s="50"/>
      <c r="E2724" s="51"/>
      <c r="F2724" s="52"/>
      <c r="G2724" s="53"/>
      <c r="H2724" s="53"/>
    </row>
    <row r="2725" spans="3:8" x14ac:dyDescent="0.15">
      <c r="C2725" s="53"/>
      <c r="D2725" s="50"/>
      <c r="E2725" s="51"/>
      <c r="F2725" s="52"/>
      <c r="G2725" s="53"/>
      <c r="H2725" s="53"/>
    </row>
    <row r="2726" spans="3:8" x14ac:dyDescent="0.15">
      <c r="C2726" s="53"/>
      <c r="D2726" s="50"/>
      <c r="E2726" s="51"/>
      <c r="F2726" s="52"/>
      <c r="G2726" s="53"/>
      <c r="H2726" s="53"/>
    </row>
    <row r="2727" spans="3:8" x14ac:dyDescent="0.15">
      <c r="C2727" s="53"/>
      <c r="D2727" s="50"/>
      <c r="E2727" s="51"/>
      <c r="F2727" s="52"/>
      <c r="G2727" s="53"/>
      <c r="H2727" s="53"/>
    </row>
    <row r="2728" spans="3:8" x14ac:dyDescent="0.15">
      <c r="C2728" s="53"/>
      <c r="D2728" s="50"/>
      <c r="E2728" s="51"/>
      <c r="F2728" s="52"/>
      <c r="G2728" s="53"/>
      <c r="H2728" s="53"/>
    </row>
    <row r="2729" spans="3:8" x14ac:dyDescent="0.15">
      <c r="C2729" s="53"/>
      <c r="D2729" s="50"/>
      <c r="E2729" s="51"/>
      <c r="F2729" s="52"/>
      <c r="G2729" s="53"/>
      <c r="H2729" s="53"/>
    </row>
    <row r="2730" spans="3:8" x14ac:dyDescent="0.15">
      <c r="C2730" s="53"/>
      <c r="D2730" s="50"/>
      <c r="E2730" s="51"/>
      <c r="F2730" s="52"/>
      <c r="G2730" s="53"/>
      <c r="H2730" s="53"/>
    </row>
    <row r="2731" spans="3:8" x14ac:dyDescent="0.15">
      <c r="C2731" s="53"/>
      <c r="D2731" s="50"/>
      <c r="E2731" s="51"/>
      <c r="F2731" s="52"/>
      <c r="G2731" s="53"/>
      <c r="H2731" s="53"/>
    </row>
    <row r="2732" spans="3:8" x14ac:dyDescent="0.15">
      <c r="C2732" s="53"/>
      <c r="D2732" s="50"/>
      <c r="E2732" s="51"/>
      <c r="F2732" s="52"/>
      <c r="G2732" s="53"/>
      <c r="H2732" s="53"/>
    </row>
    <row r="2733" spans="3:8" x14ac:dyDescent="0.15">
      <c r="C2733" s="53"/>
      <c r="D2733" s="50"/>
      <c r="E2733" s="51"/>
      <c r="F2733" s="52"/>
      <c r="G2733" s="53"/>
      <c r="H2733" s="53"/>
    </row>
    <row r="2734" spans="3:8" x14ac:dyDescent="0.15">
      <c r="C2734" s="53"/>
      <c r="D2734" s="50"/>
      <c r="E2734" s="51"/>
      <c r="F2734" s="52"/>
      <c r="G2734" s="53"/>
      <c r="H2734" s="53"/>
    </row>
    <row r="2735" spans="3:8" x14ac:dyDescent="0.15">
      <c r="C2735" s="53"/>
      <c r="D2735" s="50"/>
      <c r="E2735" s="51"/>
      <c r="F2735" s="52"/>
      <c r="G2735" s="53"/>
      <c r="H2735" s="53"/>
    </row>
    <row r="2736" spans="3:8" x14ac:dyDescent="0.15">
      <c r="C2736" s="53"/>
      <c r="D2736" s="50"/>
      <c r="E2736" s="51"/>
      <c r="F2736" s="52"/>
      <c r="G2736" s="53"/>
      <c r="H2736" s="53"/>
    </row>
    <row r="2737" spans="3:8" x14ac:dyDescent="0.15">
      <c r="C2737" s="53"/>
      <c r="D2737" s="50"/>
      <c r="E2737" s="51"/>
      <c r="F2737" s="52"/>
      <c r="G2737" s="53"/>
      <c r="H2737" s="53"/>
    </row>
    <row r="2738" spans="3:8" x14ac:dyDescent="0.15">
      <c r="C2738" s="53"/>
      <c r="D2738" s="50"/>
      <c r="E2738" s="51"/>
      <c r="F2738" s="52"/>
      <c r="G2738" s="53"/>
      <c r="H2738" s="53"/>
    </row>
    <row r="2739" spans="3:8" x14ac:dyDescent="0.15">
      <c r="C2739" s="53"/>
      <c r="D2739" s="50"/>
      <c r="E2739" s="51"/>
      <c r="F2739" s="52"/>
      <c r="G2739" s="53"/>
      <c r="H2739" s="53"/>
    </row>
    <row r="2740" spans="3:8" x14ac:dyDescent="0.15">
      <c r="C2740" s="53"/>
      <c r="D2740" s="50"/>
      <c r="E2740" s="51"/>
      <c r="F2740" s="52"/>
      <c r="G2740" s="53"/>
      <c r="H2740" s="53"/>
    </row>
    <row r="2741" spans="3:8" x14ac:dyDescent="0.15">
      <c r="C2741" s="53"/>
      <c r="D2741" s="50"/>
      <c r="E2741" s="51"/>
      <c r="F2741" s="52"/>
      <c r="G2741" s="53"/>
      <c r="H2741" s="53"/>
    </row>
    <row r="2742" spans="3:8" x14ac:dyDescent="0.15">
      <c r="C2742" s="53"/>
      <c r="D2742" s="50"/>
      <c r="E2742" s="51"/>
      <c r="F2742" s="52"/>
      <c r="G2742" s="53"/>
      <c r="H2742" s="53"/>
    </row>
    <row r="2743" spans="3:8" x14ac:dyDescent="0.15">
      <c r="C2743" s="53"/>
      <c r="D2743" s="50"/>
      <c r="E2743" s="51"/>
      <c r="F2743" s="52"/>
      <c r="G2743" s="53"/>
      <c r="H2743" s="53"/>
    </row>
    <row r="2744" spans="3:8" x14ac:dyDescent="0.15">
      <c r="C2744" s="53"/>
      <c r="D2744" s="50"/>
      <c r="E2744" s="51"/>
      <c r="F2744" s="52"/>
      <c r="G2744" s="53"/>
      <c r="H2744" s="53"/>
    </row>
    <row r="2745" spans="3:8" x14ac:dyDescent="0.15">
      <c r="C2745" s="53"/>
      <c r="D2745" s="50"/>
      <c r="E2745" s="51"/>
      <c r="F2745" s="52"/>
      <c r="G2745" s="53"/>
      <c r="H2745" s="53"/>
    </row>
    <row r="2746" spans="3:8" x14ac:dyDescent="0.15">
      <c r="C2746" s="53"/>
      <c r="D2746" s="50"/>
      <c r="E2746" s="51"/>
      <c r="F2746" s="52"/>
      <c r="G2746" s="53"/>
      <c r="H2746" s="53"/>
    </row>
    <row r="2747" spans="3:8" x14ac:dyDescent="0.15">
      <c r="C2747" s="53"/>
      <c r="D2747" s="50"/>
      <c r="E2747" s="51"/>
      <c r="F2747" s="52"/>
      <c r="G2747" s="53"/>
      <c r="H2747" s="53"/>
    </row>
    <row r="2748" spans="3:8" x14ac:dyDescent="0.15">
      <c r="C2748" s="53"/>
      <c r="D2748" s="50"/>
      <c r="E2748" s="51"/>
      <c r="F2748" s="52"/>
      <c r="G2748" s="53"/>
      <c r="H2748" s="53"/>
    </row>
    <row r="2749" spans="3:8" x14ac:dyDescent="0.15">
      <c r="C2749" s="53"/>
      <c r="D2749" s="50"/>
      <c r="E2749" s="51"/>
      <c r="F2749" s="52"/>
      <c r="G2749" s="53"/>
      <c r="H2749" s="53"/>
    </row>
    <row r="2750" spans="3:8" x14ac:dyDescent="0.15">
      <c r="C2750" s="53"/>
      <c r="D2750" s="50"/>
      <c r="E2750" s="51"/>
      <c r="F2750" s="52"/>
      <c r="G2750" s="53"/>
      <c r="H2750" s="53"/>
    </row>
    <row r="2751" spans="3:8" x14ac:dyDescent="0.15">
      <c r="C2751" s="53"/>
      <c r="D2751" s="50"/>
      <c r="E2751" s="51"/>
      <c r="F2751" s="52"/>
      <c r="G2751" s="53"/>
      <c r="H2751" s="53"/>
    </row>
    <row r="2752" spans="3:8" x14ac:dyDescent="0.15">
      <c r="C2752" s="53"/>
      <c r="D2752" s="50"/>
      <c r="E2752" s="51"/>
      <c r="F2752" s="52"/>
      <c r="G2752" s="53"/>
      <c r="H2752" s="53"/>
    </row>
    <row r="2753" spans="3:8" x14ac:dyDescent="0.15">
      <c r="C2753" s="53"/>
      <c r="D2753" s="50"/>
      <c r="E2753" s="51"/>
      <c r="F2753" s="52"/>
      <c r="G2753" s="53"/>
      <c r="H2753" s="53"/>
    </row>
    <row r="2754" spans="3:8" x14ac:dyDescent="0.15">
      <c r="C2754" s="53"/>
      <c r="D2754" s="50"/>
      <c r="E2754" s="51"/>
      <c r="F2754" s="52"/>
      <c r="G2754" s="53"/>
      <c r="H2754" s="53"/>
    </row>
    <row r="2755" spans="3:8" x14ac:dyDescent="0.15">
      <c r="C2755" s="53"/>
      <c r="D2755" s="50"/>
      <c r="E2755" s="51"/>
      <c r="F2755" s="52"/>
      <c r="G2755" s="53"/>
      <c r="H2755" s="53"/>
    </row>
    <row r="2756" spans="3:8" x14ac:dyDescent="0.15">
      <c r="C2756" s="53"/>
      <c r="D2756" s="50"/>
      <c r="E2756" s="51"/>
      <c r="F2756" s="52"/>
      <c r="G2756" s="53"/>
      <c r="H2756" s="53"/>
    </row>
    <row r="2757" spans="3:8" x14ac:dyDescent="0.15">
      <c r="C2757" s="53"/>
      <c r="D2757" s="50"/>
      <c r="E2757" s="51"/>
      <c r="F2757" s="52"/>
      <c r="G2757" s="53"/>
      <c r="H2757" s="53"/>
    </row>
    <row r="2758" spans="3:8" x14ac:dyDescent="0.15">
      <c r="C2758" s="53"/>
      <c r="D2758" s="50"/>
      <c r="E2758" s="51"/>
      <c r="F2758" s="52"/>
      <c r="G2758" s="53"/>
      <c r="H2758" s="53"/>
    </row>
    <row r="2759" spans="3:8" x14ac:dyDescent="0.15">
      <c r="C2759" s="53"/>
      <c r="D2759" s="50"/>
      <c r="E2759" s="51"/>
      <c r="F2759" s="52"/>
      <c r="G2759" s="53"/>
      <c r="H2759" s="53"/>
    </row>
    <row r="2760" spans="3:8" x14ac:dyDescent="0.15">
      <c r="C2760" s="53"/>
      <c r="D2760" s="50"/>
      <c r="E2760" s="51"/>
      <c r="F2760" s="52"/>
      <c r="G2760" s="53"/>
      <c r="H2760" s="53"/>
    </row>
    <row r="2761" spans="3:8" x14ac:dyDescent="0.15">
      <c r="C2761" s="53"/>
      <c r="D2761" s="50"/>
      <c r="E2761" s="51"/>
      <c r="F2761" s="52"/>
      <c r="G2761" s="53"/>
      <c r="H2761" s="53"/>
    </row>
    <row r="2762" spans="3:8" x14ac:dyDescent="0.15">
      <c r="C2762" s="53"/>
      <c r="D2762" s="50"/>
      <c r="E2762" s="51"/>
      <c r="F2762" s="52"/>
      <c r="G2762" s="53"/>
      <c r="H2762" s="53"/>
    </row>
    <row r="2763" spans="3:8" x14ac:dyDescent="0.15">
      <c r="C2763" s="53"/>
      <c r="D2763" s="50"/>
      <c r="E2763" s="51"/>
      <c r="F2763" s="52"/>
      <c r="G2763" s="53"/>
      <c r="H2763" s="53"/>
    </row>
    <row r="2764" spans="3:8" x14ac:dyDescent="0.15">
      <c r="C2764" s="53"/>
      <c r="D2764" s="50"/>
      <c r="E2764" s="51"/>
      <c r="F2764" s="52"/>
      <c r="G2764" s="53"/>
      <c r="H2764" s="53"/>
    </row>
    <row r="2765" spans="3:8" x14ac:dyDescent="0.15">
      <c r="C2765" s="53"/>
      <c r="D2765" s="50"/>
      <c r="E2765" s="51"/>
      <c r="F2765" s="52"/>
      <c r="G2765" s="53"/>
      <c r="H2765" s="53"/>
    </row>
    <row r="2766" spans="3:8" x14ac:dyDescent="0.15">
      <c r="C2766" s="53"/>
      <c r="D2766" s="50"/>
      <c r="E2766" s="51"/>
      <c r="F2766" s="52"/>
      <c r="G2766" s="53"/>
      <c r="H2766" s="53"/>
    </row>
    <row r="2767" spans="3:8" x14ac:dyDescent="0.15">
      <c r="C2767" s="53"/>
      <c r="D2767" s="50"/>
      <c r="E2767" s="51"/>
      <c r="F2767" s="52"/>
      <c r="G2767" s="53"/>
      <c r="H2767" s="53"/>
    </row>
    <row r="2768" spans="3:8" x14ac:dyDescent="0.15">
      <c r="C2768" s="53"/>
      <c r="D2768" s="50"/>
      <c r="E2768" s="51"/>
      <c r="F2768" s="52"/>
      <c r="G2768" s="53"/>
      <c r="H2768" s="53"/>
    </row>
    <row r="2769" spans="3:8" x14ac:dyDescent="0.15">
      <c r="C2769" s="53"/>
      <c r="D2769" s="50"/>
      <c r="E2769" s="51"/>
      <c r="F2769" s="52"/>
      <c r="G2769" s="53"/>
      <c r="H2769" s="53"/>
    </row>
    <row r="2770" spans="3:8" x14ac:dyDescent="0.15">
      <c r="C2770" s="53"/>
      <c r="D2770" s="50"/>
      <c r="E2770" s="51"/>
      <c r="F2770" s="52"/>
      <c r="G2770" s="53"/>
      <c r="H2770" s="53"/>
    </row>
    <row r="2771" spans="3:8" x14ac:dyDescent="0.15">
      <c r="C2771" s="53"/>
      <c r="D2771" s="50"/>
      <c r="E2771" s="51"/>
      <c r="F2771" s="52"/>
      <c r="G2771" s="53"/>
      <c r="H2771" s="53"/>
    </row>
    <row r="2772" spans="3:8" x14ac:dyDescent="0.15">
      <c r="C2772" s="53"/>
      <c r="D2772" s="50"/>
      <c r="E2772" s="51"/>
      <c r="F2772" s="52"/>
      <c r="G2772" s="53"/>
      <c r="H2772" s="53"/>
    </row>
    <row r="2773" spans="3:8" x14ac:dyDescent="0.15">
      <c r="C2773" s="53"/>
      <c r="D2773" s="50"/>
      <c r="E2773" s="51"/>
      <c r="F2773" s="52"/>
      <c r="G2773" s="53"/>
      <c r="H2773" s="53"/>
    </row>
    <row r="2774" spans="3:8" x14ac:dyDescent="0.15">
      <c r="C2774" s="53"/>
      <c r="D2774" s="50"/>
      <c r="E2774" s="51"/>
      <c r="F2774" s="52"/>
      <c r="G2774" s="53"/>
      <c r="H2774" s="53"/>
    </row>
    <row r="2775" spans="3:8" x14ac:dyDescent="0.15">
      <c r="C2775" s="53"/>
      <c r="D2775" s="50"/>
      <c r="E2775" s="51"/>
      <c r="F2775" s="52"/>
      <c r="G2775" s="53"/>
      <c r="H2775" s="53"/>
    </row>
    <row r="2776" spans="3:8" x14ac:dyDescent="0.15">
      <c r="C2776" s="53"/>
      <c r="D2776" s="50"/>
      <c r="E2776" s="51"/>
      <c r="F2776" s="52"/>
      <c r="G2776" s="53"/>
      <c r="H2776" s="53"/>
    </row>
    <row r="2777" spans="3:8" x14ac:dyDescent="0.15">
      <c r="C2777" s="53"/>
      <c r="D2777" s="50"/>
      <c r="E2777" s="51"/>
      <c r="F2777" s="52"/>
      <c r="G2777" s="53"/>
      <c r="H2777" s="53"/>
    </row>
    <row r="2778" spans="3:8" x14ac:dyDescent="0.15">
      <c r="C2778" s="53"/>
      <c r="D2778" s="50"/>
      <c r="E2778" s="51"/>
      <c r="F2778" s="52"/>
      <c r="G2778" s="53"/>
      <c r="H2778" s="53"/>
    </row>
    <row r="2779" spans="3:8" x14ac:dyDescent="0.15">
      <c r="C2779" s="53"/>
      <c r="D2779" s="50"/>
      <c r="E2779" s="51"/>
      <c r="F2779" s="52"/>
      <c r="G2779" s="53"/>
      <c r="H2779" s="53"/>
    </row>
    <row r="2780" spans="3:8" x14ac:dyDescent="0.15">
      <c r="C2780" s="53"/>
      <c r="D2780" s="50"/>
      <c r="E2780" s="51"/>
      <c r="F2780" s="52"/>
      <c r="G2780" s="53"/>
      <c r="H2780" s="53"/>
    </row>
    <row r="2781" spans="3:8" x14ac:dyDescent="0.15">
      <c r="C2781" s="53"/>
      <c r="D2781" s="50"/>
      <c r="E2781" s="51"/>
      <c r="F2781" s="52"/>
      <c r="G2781" s="53"/>
      <c r="H2781" s="53"/>
    </row>
    <row r="2782" spans="3:8" x14ac:dyDescent="0.15">
      <c r="C2782" s="53"/>
      <c r="D2782" s="50"/>
      <c r="E2782" s="51"/>
      <c r="F2782" s="52"/>
      <c r="G2782" s="53"/>
      <c r="H2782" s="53"/>
    </row>
    <row r="2783" spans="3:8" x14ac:dyDescent="0.15">
      <c r="C2783" s="53"/>
      <c r="D2783" s="50"/>
      <c r="E2783" s="51"/>
      <c r="F2783" s="52"/>
      <c r="G2783" s="53"/>
      <c r="H2783" s="53"/>
    </row>
    <row r="2784" spans="3:8" x14ac:dyDescent="0.15">
      <c r="C2784" s="53"/>
      <c r="D2784" s="50"/>
      <c r="E2784" s="51"/>
      <c r="F2784" s="52"/>
      <c r="G2784" s="53"/>
      <c r="H2784" s="53"/>
    </row>
    <row r="2785" spans="3:8" x14ac:dyDescent="0.15">
      <c r="C2785" s="53"/>
      <c r="D2785" s="50"/>
      <c r="E2785" s="51"/>
      <c r="F2785" s="52"/>
      <c r="G2785" s="53"/>
      <c r="H2785" s="53"/>
    </row>
    <row r="2786" spans="3:8" x14ac:dyDescent="0.15">
      <c r="C2786" s="53"/>
      <c r="D2786" s="50"/>
      <c r="E2786" s="51"/>
      <c r="F2786" s="52"/>
      <c r="G2786" s="53"/>
      <c r="H2786" s="53"/>
    </row>
    <row r="2787" spans="3:8" x14ac:dyDescent="0.15">
      <c r="C2787" s="53"/>
      <c r="D2787" s="50"/>
      <c r="E2787" s="51"/>
      <c r="F2787" s="52"/>
      <c r="G2787" s="53"/>
      <c r="H2787" s="53"/>
    </row>
    <row r="2788" spans="3:8" x14ac:dyDescent="0.15">
      <c r="C2788" s="53"/>
      <c r="D2788" s="50"/>
      <c r="E2788" s="51"/>
      <c r="F2788" s="52"/>
      <c r="G2788" s="53"/>
      <c r="H2788" s="53"/>
    </row>
    <row r="2789" spans="3:8" x14ac:dyDescent="0.15">
      <c r="C2789" s="53"/>
      <c r="D2789" s="50"/>
      <c r="E2789" s="51"/>
      <c r="F2789" s="52"/>
      <c r="G2789" s="53"/>
      <c r="H2789" s="53"/>
    </row>
    <row r="2790" spans="3:8" x14ac:dyDescent="0.15">
      <c r="C2790" s="53"/>
      <c r="D2790" s="50"/>
      <c r="E2790" s="51"/>
      <c r="F2790" s="52"/>
      <c r="G2790" s="53"/>
      <c r="H2790" s="53"/>
    </row>
    <row r="2791" spans="3:8" x14ac:dyDescent="0.15">
      <c r="C2791" s="53"/>
      <c r="D2791" s="50"/>
      <c r="E2791" s="51"/>
      <c r="F2791" s="52"/>
      <c r="G2791" s="53"/>
      <c r="H2791" s="53"/>
    </row>
    <row r="2792" spans="3:8" x14ac:dyDescent="0.15">
      <c r="C2792" s="53"/>
      <c r="D2792" s="50"/>
      <c r="E2792" s="51"/>
      <c r="F2792" s="52"/>
      <c r="G2792" s="53"/>
      <c r="H2792" s="53"/>
    </row>
    <row r="2793" spans="3:8" x14ac:dyDescent="0.15">
      <c r="C2793" s="53"/>
      <c r="D2793" s="50"/>
      <c r="E2793" s="51"/>
      <c r="F2793" s="52"/>
      <c r="G2793" s="53"/>
      <c r="H2793" s="53"/>
    </row>
    <row r="2794" spans="3:8" x14ac:dyDescent="0.15">
      <c r="C2794" s="53"/>
      <c r="D2794" s="50"/>
      <c r="E2794" s="51"/>
      <c r="F2794" s="52"/>
      <c r="G2794" s="53"/>
      <c r="H2794" s="53"/>
    </row>
    <row r="2795" spans="3:8" x14ac:dyDescent="0.15">
      <c r="C2795" s="53"/>
      <c r="D2795" s="50"/>
      <c r="E2795" s="51"/>
      <c r="F2795" s="52"/>
      <c r="G2795" s="53"/>
      <c r="H2795" s="53"/>
    </row>
    <row r="2796" spans="3:8" x14ac:dyDescent="0.15">
      <c r="C2796" s="53"/>
      <c r="D2796" s="50"/>
      <c r="E2796" s="51"/>
      <c r="F2796" s="52"/>
      <c r="G2796" s="53"/>
      <c r="H2796" s="53"/>
    </row>
    <row r="2797" spans="3:8" x14ac:dyDescent="0.15">
      <c r="C2797" s="53"/>
      <c r="D2797" s="50"/>
      <c r="E2797" s="51"/>
      <c r="F2797" s="52"/>
      <c r="G2797" s="53"/>
      <c r="H2797" s="53"/>
    </row>
    <row r="2798" spans="3:8" x14ac:dyDescent="0.15">
      <c r="C2798" s="53"/>
      <c r="D2798" s="50"/>
      <c r="E2798" s="51"/>
      <c r="F2798" s="52"/>
      <c r="G2798" s="53"/>
      <c r="H2798" s="53"/>
    </row>
    <row r="2799" spans="3:8" x14ac:dyDescent="0.15">
      <c r="C2799" s="53"/>
      <c r="D2799" s="50"/>
      <c r="E2799" s="51"/>
      <c r="F2799" s="52"/>
      <c r="G2799" s="53"/>
      <c r="H2799" s="53"/>
    </row>
    <row r="2800" spans="3:8" x14ac:dyDescent="0.15">
      <c r="C2800" s="53"/>
      <c r="D2800" s="50"/>
      <c r="E2800" s="51"/>
      <c r="F2800" s="52"/>
      <c r="G2800" s="53"/>
      <c r="H2800" s="53"/>
    </row>
    <row r="2801" spans="3:8" x14ac:dyDescent="0.15">
      <c r="C2801" s="53"/>
      <c r="D2801" s="50"/>
      <c r="E2801" s="51"/>
      <c r="F2801" s="52"/>
      <c r="G2801" s="53"/>
      <c r="H2801" s="53"/>
    </row>
    <row r="2802" spans="3:8" x14ac:dyDescent="0.15">
      <c r="C2802" s="53"/>
      <c r="D2802" s="50"/>
      <c r="E2802" s="51"/>
      <c r="F2802" s="52"/>
      <c r="G2802" s="53"/>
      <c r="H2802" s="53"/>
    </row>
    <row r="2803" spans="3:8" x14ac:dyDescent="0.15">
      <c r="C2803" s="53"/>
      <c r="D2803" s="50"/>
      <c r="E2803" s="51"/>
      <c r="F2803" s="52"/>
      <c r="G2803" s="53"/>
      <c r="H2803" s="53"/>
    </row>
    <row r="2804" spans="3:8" x14ac:dyDescent="0.15">
      <c r="C2804" s="53"/>
      <c r="D2804" s="50"/>
      <c r="E2804" s="51"/>
      <c r="F2804" s="52"/>
      <c r="G2804" s="53"/>
      <c r="H2804" s="53"/>
    </row>
    <row r="2805" spans="3:8" x14ac:dyDescent="0.15">
      <c r="C2805" s="53"/>
      <c r="D2805" s="50"/>
      <c r="E2805" s="51"/>
      <c r="F2805" s="52"/>
      <c r="G2805" s="53"/>
      <c r="H2805" s="53"/>
    </row>
    <row r="2806" spans="3:8" x14ac:dyDescent="0.15">
      <c r="C2806" s="53"/>
      <c r="D2806" s="50"/>
      <c r="E2806" s="51"/>
      <c r="F2806" s="52"/>
      <c r="G2806" s="53"/>
      <c r="H2806" s="53"/>
    </row>
    <row r="2807" spans="3:8" x14ac:dyDescent="0.15">
      <c r="C2807" s="53"/>
      <c r="D2807" s="50"/>
      <c r="E2807" s="51"/>
      <c r="F2807" s="52"/>
      <c r="G2807" s="53"/>
      <c r="H2807" s="53"/>
    </row>
    <row r="2808" spans="3:8" x14ac:dyDescent="0.15">
      <c r="C2808" s="53"/>
      <c r="D2808" s="50"/>
      <c r="E2808" s="51"/>
      <c r="F2808" s="52"/>
      <c r="G2808" s="53"/>
      <c r="H2808" s="53"/>
    </row>
    <row r="2809" spans="3:8" x14ac:dyDescent="0.15">
      <c r="C2809" s="53"/>
      <c r="D2809" s="50"/>
      <c r="E2809" s="51"/>
      <c r="F2809" s="52"/>
      <c r="G2809" s="53"/>
      <c r="H2809" s="53"/>
    </row>
    <row r="2810" spans="3:8" x14ac:dyDescent="0.15">
      <c r="C2810" s="53"/>
      <c r="D2810" s="50"/>
      <c r="E2810" s="51"/>
      <c r="F2810" s="52"/>
      <c r="G2810" s="53"/>
      <c r="H2810" s="53"/>
    </row>
    <row r="2811" spans="3:8" x14ac:dyDescent="0.15">
      <c r="C2811" s="53"/>
      <c r="D2811" s="50"/>
      <c r="E2811" s="51"/>
      <c r="F2811" s="52"/>
      <c r="G2811" s="53"/>
      <c r="H2811" s="53"/>
    </row>
    <row r="2812" spans="3:8" x14ac:dyDescent="0.15">
      <c r="C2812" s="53"/>
      <c r="D2812" s="50"/>
      <c r="E2812" s="51"/>
      <c r="F2812" s="52"/>
      <c r="G2812" s="53"/>
      <c r="H2812" s="53"/>
    </row>
    <row r="2813" spans="3:8" x14ac:dyDescent="0.15">
      <c r="C2813" s="53"/>
      <c r="D2813" s="50"/>
      <c r="E2813" s="51"/>
      <c r="F2813" s="52"/>
      <c r="G2813" s="53"/>
      <c r="H2813" s="53"/>
    </row>
    <row r="2814" spans="3:8" x14ac:dyDescent="0.15">
      <c r="C2814" s="53"/>
      <c r="D2814" s="50"/>
      <c r="E2814" s="51"/>
      <c r="F2814" s="52"/>
      <c r="G2814" s="53"/>
      <c r="H2814" s="53"/>
    </row>
    <row r="2815" spans="3:8" x14ac:dyDescent="0.15">
      <c r="C2815" s="53"/>
      <c r="D2815" s="50"/>
      <c r="E2815" s="51"/>
      <c r="F2815" s="52"/>
      <c r="G2815" s="53"/>
      <c r="H2815" s="53"/>
    </row>
    <row r="2816" spans="3:8" x14ac:dyDescent="0.15">
      <c r="C2816" s="53"/>
      <c r="D2816" s="50"/>
      <c r="E2816" s="51"/>
      <c r="F2816" s="52"/>
      <c r="G2816" s="53"/>
      <c r="H2816" s="53"/>
    </row>
    <row r="2817" spans="3:8" x14ac:dyDescent="0.15">
      <c r="C2817" s="53"/>
      <c r="D2817" s="50"/>
      <c r="E2817" s="51"/>
      <c r="F2817" s="52"/>
      <c r="G2817" s="53"/>
      <c r="H2817" s="53"/>
    </row>
    <row r="2818" spans="3:8" x14ac:dyDescent="0.15">
      <c r="C2818" s="53"/>
      <c r="D2818" s="50"/>
      <c r="E2818" s="51"/>
      <c r="F2818" s="52"/>
      <c r="G2818" s="53"/>
      <c r="H2818" s="53"/>
    </row>
    <row r="2819" spans="3:8" x14ac:dyDescent="0.15">
      <c r="C2819" s="53"/>
      <c r="D2819" s="50"/>
      <c r="E2819" s="51"/>
      <c r="F2819" s="52"/>
      <c r="G2819" s="53"/>
      <c r="H2819" s="53"/>
    </row>
    <row r="2820" spans="3:8" x14ac:dyDescent="0.15">
      <c r="C2820" s="53"/>
      <c r="D2820" s="50"/>
      <c r="E2820" s="51"/>
      <c r="F2820" s="52"/>
      <c r="G2820" s="53"/>
      <c r="H2820" s="53"/>
    </row>
    <row r="2821" spans="3:8" x14ac:dyDescent="0.15">
      <c r="C2821" s="53"/>
      <c r="D2821" s="50"/>
      <c r="E2821" s="51"/>
      <c r="F2821" s="52"/>
      <c r="G2821" s="53"/>
      <c r="H2821" s="53"/>
    </row>
    <row r="2822" spans="3:8" x14ac:dyDescent="0.15">
      <c r="C2822" s="53"/>
      <c r="D2822" s="50"/>
      <c r="E2822" s="51"/>
      <c r="F2822" s="52"/>
      <c r="G2822" s="53"/>
      <c r="H2822" s="53"/>
    </row>
    <row r="2823" spans="3:8" x14ac:dyDescent="0.15">
      <c r="C2823" s="53"/>
      <c r="D2823" s="50"/>
      <c r="E2823" s="51"/>
      <c r="F2823" s="52"/>
      <c r="G2823" s="53"/>
      <c r="H2823" s="53"/>
    </row>
    <row r="2824" spans="3:8" x14ac:dyDescent="0.15">
      <c r="C2824" s="53"/>
      <c r="D2824" s="50"/>
      <c r="E2824" s="51"/>
      <c r="F2824" s="52"/>
      <c r="G2824" s="53"/>
      <c r="H2824" s="53"/>
    </row>
    <row r="2825" spans="3:8" x14ac:dyDescent="0.15">
      <c r="C2825" s="53"/>
      <c r="D2825" s="50"/>
      <c r="E2825" s="51"/>
      <c r="F2825" s="52"/>
      <c r="G2825" s="53"/>
      <c r="H2825" s="53"/>
    </row>
    <row r="2826" spans="3:8" x14ac:dyDescent="0.15">
      <c r="C2826" s="53"/>
      <c r="D2826" s="50"/>
      <c r="E2826" s="51"/>
      <c r="F2826" s="52"/>
      <c r="G2826" s="53"/>
      <c r="H2826" s="53"/>
    </row>
    <row r="2827" spans="3:8" x14ac:dyDescent="0.15">
      <c r="C2827" s="53"/>
      <c r="D2827" s="50"/>
      <c r="E2827" s="51"/>
      <c r="F2827" s="52"/>
      <c r="G2827" s="53"/>
      <c r="H2827" s="53"/>
    </row>
    <row r="2828" spans="3:8" x14ac:dyDescent="0.15">
      <c r="C2828" s="53"/>
      <c r="D2828" s="50"/>
      <c r="E2828" s="51"/>
      <c r="F2828" s="52"/>
      <c r="G2828" s="53"/>
      <c r="H2828" s="53"/>
    </row>
    <row r="2829" spans="3:8" x14ac:dyDescent="0.15">
      <c r="C2829" s="53"/>
      <c r="D2829" s="50"/>
      <c r="E2829" s="51"/>
      <c r="F2829" s="52"/>
      <c r="G2829" s="53"/>
      <c r="H2829" s="53"/>
    </row>
    <row r="2830" spans="3:8" x14ac:dyDescent="0.15">
      <c r="C2830" s="53"/>
      <c r="D2830" s="50"/>
      <c r="E2830" s="51"/>
      <c r="F2830" s="52"/>
      <c r="G2830" s="53"/>
      <c r="H2830" s="53"/>
    </row>
    <row r="2831" spans="3:8" x14ac:dyDescent="0.15">
      <c r="C2831" s="53"/>
      <c r="D2831" s="50"/>
      <c r="E2831" s="51"/>
      <c r="F2831" s="52"/>
      <c r="G2831" s="53"/>
      <c r="H2831" s="53"/>
    </row>
    <row r="2832" spans="3:8" x14ac:dyDescent="0.15">
      <c r="C2832" s="53"/>
      <c r="D2832" s="50"/>
      <c r="E2832" s="51"/>
      <c r="F2832" s="52"/>
      <c r="G2832" s="53"/>
      <c r="H2832" s="53"/>
    </row>
    <row r="2833" spans="3:8" x14ac:dyDescent="0.15">
      <c r="C2833" s="53"/>
      <c r="D2833" s="50"/>
      <c r="E2833" s="51"/>
      <c r="F2833" s="52"/>
      <c r="G2833" s="53"/>
      <c r="H2833" s="53"/>
    </row>
    <row r="2834" spans="3:8" x14ac:dyDescent="0.15">
      <c r="C2834" s="53"/>
      <c r="D2834" s="50"/>
      <c r="E2834" s="51"/>
      <c r="F2834" s="52"/>
      <c r="G2834" s="53"/>
      <c r="H2834" s="53"/>
    </row>
    <row r="2835" spans="3:8" x14ac:dyDescent="0.15">
      <c r="C2835" s="53"/>
      <c r="D2835" s="50"/>
      <c r="E2835" s="51"/>
      <c r="F2835" s="52"/>
      <c r="G2835" s="53"/>
      <c r="H2835" s="53"/>
    </row>
    <row r="2836" spans="3:8" x14ac:dyDescent="0.15">
      <c r="C2836" s="53"/>
      <c r="D2836" s="50"/>
      <c r="E2836" s="51"/>
      <c r="F2836" s="52"/>
      <c r="G2836" s="53"/>
      <c r="H2836" s="53"/>
    </row>
    <row r="2837" spans="3:8" x14ac:dyDescent="0.15">
      <c r="C2837" s="53"/>
      <c r="D2837" s="50"/>
      <c r="E2837" s="51"/>
      <c r="F2837" s="52"/>
      <c r="G2837" s="53"/>
      <c r="H2837" s="53"/>
    </row>
    <row r="2838" spans="3:8" x14ac:dyDescent="0.15">
      <c r="C2838" s="53"/>
      <c r="D2838" s="50"/>
      <c r="E2838" s="51"/>
      <c r="F2838" s="52"/>
      <c r="G2838" s="53"/>
      <c r="H2838" s="53"/>
    </row>
    <row r="2839" spans="3:8" x14ac:dyDescent="0.15">
      <c r="C2839" s="53"/>
      <c r="D2839" s="50"/>
      <c r="E2839" s="51"/>
      <c r="F2839" s="52"/>
      <c r="G2839" s="53"/>
      <c r="H2839" s="53"/>
    </row>
    <row r="2840" spans="3:8" x14ac:dyDescent="0.15">
      <c r="C2840" s="53"/>
      <c r="D2840" s="50"/>
      <c r="E2840" s="51"/>
      <c r="F2840" s="52"/>
      <c r="G2840" s="53"/>
      <c r="H2840" s="53"/>
    </row>
    <row r="2841" spans="3:8" x14ac:dyDescent="0.15">
      <c r="C2841" s="53"/>
      <c r="D2841" s="50"/>
      <c r="E2841" s="51"/>
      <c r="F2841" s="52"/>
      <c r="G2841" s="53"/>
      <c r="H2841" s="53"/>
    </row>
    <row r="2842" spans="3:8" x14ac:dyDescent="0.15">
      <c r="C2842" s="53"/>
      <c r="D2842" s="50"/>
      <c r="E2842" s="51"/>
      <c r="F2842" s="52"/>
      <c r="G2842" s="53"/>
      <c r="H2842" s="53"/>
    </row>
    <row r="2843" spans="3:8" x14ac:dyDescent="0.15">
      <c r="C2843" s="53"/>
      <c r="D2843" s="50"/>
      <c r="E2843" s="51"/>
      <c r="F2843" s="52"/>
      <c r="G2843" s="53"/>
      <c r="H2843" s="53"/>
    </row>
    <row r="2844" spans="3:8" x14ac:dyDescent="0.15">
      <c r="C2844" s="53"/>
      <c r="D2844" s="50"/>
      <c r="E2844" s="51"/>
      <c r="F2844" s="52"/>
      <c r="G2844" s="53"/>
      <c r="H2844" s="53"/>
    </row>
    <row r="2845" spans="3:8" x14ac:dyDescent="0.15">
      <c r="C2845" s="53"/>
      <c r="D2845" s="50"/>
      <c r="E2845" s="51"/>
      <c r="F2845" s="52"/>
      <c r="G2845" s="53"/>
      <c r="H2845" s="53"/>
    </row>
    <row r="2846" spans="3:8" x14ac:dyDescent="0.15">
      <c r="C2846" s="53"/>
      <c r="D2846" s="50"/>
      <c r="E2846" s="51"/>
      <c r="F2846" s="52"/>
      <c r="G2846" s="53"/>
      <c r="H2846" s="53"/>
    </row>
    <row r="2847" spans="3:8" x14ac:dyDescent="0.15">
      <c r="C2847" s="53"/>
      <c r="D2847" s="50"/>
      <c r="E2847" s="51"/>
      <c r="F2847" s="52"/>
      <c r="G2847" s="53"/>
      <c r="H2847" s="53"/>
    </row>
    <row r="2848" spans="3:8" x14ac:dyDescent="0.15">
      <c r="C2848" s="53"/>
      <c r="D2848" s="50"/>
      <c r="E2848" s="51"/>
      <c r="F2848" s="52"/>
      <c r="G2848" s="53"/>
      <c r="H2848" s="53"/>
    </row>
    <row r="2849" spans="3:8" x14ac:dyDescent="0.15">
      <c r="C2849" s="53"/>
      <c r="D2849" s="50"/>
      <c r="E2849" s="51"/>
      <c r="F2849" s="52"/>
      <c r="G2849" s="53"/>
      <c r="H2849" s="53"/>
    </row>
    <row r="2850" spans="3:8" x14ac:dyDescent="0.15">
      <c r="C2850" s="53"/>
      <c r="D2850" s="50"/>
      <c r="E2850" s="51"/>
      <c r="F2850" s="52"/>
      <c r="G2850" s="53"/>
      <c r="H2850" s="53"/>
    </row>
    <row r="2851" spans="3:8" x14ac:dyDescent="0.15">
      <c r="C2851" s="53"/>
      <c r="D2851" s="50"/>
      <c r="E2851" s="51"/>
      <c r="F2851" s="52"/>
      <c r="G2851" s="53"/>
      <c r="H2851" s="53"/>
    </row>
    <row r="2852" spans="3:8" x14ac:dyDescent="0.15">
      <c r="C2852" s="53"/>
      <c r="D2852" s="50"/>
      <c r="E2852" s="51"/>
      <c r="F2852" s="52"/>
      <c r="G2852" s="53"/>
      <c r="H2852" s="53"/>
    </row>
    <row r="2853" spans="3:8" x14ac:dyDescent="0.15">
      <c r="C2853" s="53"/>
      <c r="D2853" s="50"/>
      <c r="E2853" s="51"/>
      <c r="F2853" s="52"/>
      <c r="G2853" s="53"/>
      <c r="H2853" s="53"/>
    </row>
    <row r="2854" spans="3:8" x14ac:dyDescent="0.15">
      <c r="C2854" s="53"/>
      <c r="D2854" s="50"/>
      <c r="E2854" s="51"/>
      <c r="F2854" s="52"/>
      <c r="G2854" s="53"/>
      <c r="H2854" s="53"/>
    </row>
    <row r="2855" spans="3:8" x14ac:dyDescent="0.15">
      <c r="C2855" s="53"/>
      <c r="D2855" s="50"/>
      <c r="E2855" s="51"/>
      <c r="F2855" s="52"/>
      <c r="G2855" s="53"/>
      <c r="H2855" s="53"/>
    </row>
    <row r="2856" spans="3:8" x14ac:dyDescent="0.15">
      <c r="C2856" s="53"/>
      <c r="D2856" s="50"/>
      <c r="E2856" s="51"/>
      <c r="F2856" s="52"/>
      <c r="G2856" s="53"/>
      <c r="H2856" s="53"/>
    </row>
    <row r="2857" spans="3:8" x14ac:dyDescent="0.15">
      <c r="C2857" s="53"/>
      <c r="D2857" s="50"/>
      <c r="E2857" s="51"/>
      <c r="F2857" s="52"/>
      <c r="G2857" s="53"/>
      <c r="H2857" s="53"/>
    </row>
    <row r="2858" spans="3:8" x14ac:dyDescent="0.15">
      <c r="C2858" s="53"/>
      <c r="D2858" s="50"/>
      <c r="E2858" s="51"/>
      <c r="F2858" s="52"/>
      <c r="G2858" s="53"/>
      <c r="H2858" s="53"/>
    </row>
    <row r="2859" spans="3:8" x14ac:dyDescent="0.15">
      <c r="C2859" s="53"/>
      <c r="D2859" s="50"/>
      <c r="E2859" s="51"/>
      <c r="F2859" s="52"/>
      <c r="G2859" s="53"/>
      <c r="H2859" s="53"/>
    </row>
    <row r="2860" spans="3:8" x14ac:dyDescent="0.15">
      <c r="C2860" s="53"/>
      <c r="D2860" s="50"/>
      <c r="E2860" s="51"/>
      <c r="F2860" s="52"/>
      <c r="G2860" s="53"/>
      <c r="H2860" s="53"/>
    </row>
    <row r="2861" spans="3:8" x14ac:dyDescent="0.15">
      <c r="C2861" s="53"/>
      <c r="D2861" s="50"/>
      <c r="E2861" s="51"/>
      <c r="F2861" s="52"/>
      <c r="G2861" s="53"/>
      <c r="H2861" s="53"/>
    </row>
    <row r="2862" spans="3:8" x14ac:dyDescent="0.15">
      <c r="C2862" s="53"/>
      <c r="D2862" s="50"/>
      <c r="E2862" s="51"/>
      <c r="F2862" s="52"/>
      <c r="G2862" s="53"/>
      <c r="H2862" s="53"/>
    </row>
    <row r="2863" spans="3:8" x14ac:dyDescent="0.15">
      <c r="C2863" s="53"/>
      <c r="D2863" s="50"/>
      <c r="E2863" s="51"/>
      <c r="F2863" s="52"/>
      <c r="G2863" s="53"/>
      <c r="H2863" s="53"/>
    </row>
    <row r="2864" spans="3:8" x14ac:dyDescent="0.15">
      <c r="C2864" s="53"/>
      <c r="D2864" s="50"/>
      <c r="E2864" s="51"/>
      <c r="F2864" s="52"/>
      <c r="G2864" s="53"/>
      <c r="H2864" s="53"/>
    </row>
    <row r="2865" spans="3:8" x14ac:dyDescent="0.15">
      <c r="C2865" s="53"/>
      <c r="D2865" s="50"/>
      <c r="E2865" s="51"/>
      <c r="F2865" s="52"/>
      <c r="G2865" s="53"/>
      <c r="H2865" s="53"/>
    </row>
    <row r="2866" spans="3:8" x14ac:dyDescent="0.15">
      <c r="C2866" s="53"/>
      <c r="D2866" s="50"/>
      <c r="E2866" s="51"/>
      <c r="F2866" s="52"/>
      <c r="G2866" s="53"/>
      <c r="H2866" s="53"/>
    </row>
    <row r="2867" spans="3:8" x14ac:dyDescent="0.15">
      <c r="C2867" s="53"/>
      <c r="D2867" s="50"/>
      <c r="E2867" s="51"/>
      <c r="F2867" s="52"/>
      <c r="G2867" s="53"/>
      <c r="H2867" s="53"/>
    </row>
    <row r="2868" spans="3:8" x14ac:dyDescent="0.15">
      <c r="C2868" s="53"/>
      <c r="D2868" s="50"/>
      <c r="E2868" s="51"/>
      <c r="F2868" s="52"/>
      <c r="G2868" s="53"/>
      <c r="H2868" s="53"/>
    </row>
    <row r="2869" spans="3:8" x14ac:dyDescent="0.15">
      <c r="C2869" s="53"/>
      <c r="D2869" s="50"/>
      <c r="E2869" s="51"/>
      <c r="F2869" s="52"/>
      <c r="G2869" s="53"/>
      <c r="H2869" s="53"/>
    </row>
    <row r="2870" spans="3:8" x14ac:dyDescent="0.15">
      <c r="C2870" s="53"/>
      <c r="D2870" s="50"/>
      <c r="E2870" s="51"/>
      <c r="F2870" s="52"/>
      <c r="G2870" s="53"/>
      <c r="H2870" s="53"/>
    </row>
    <row r="2871" spans="3:8" x14ac:dyDescent="0.15">
      <c r="C2871" s="53"/>
      <c r="D2871" s="50"/>
      <c r="E2871" s="51"/>
      <c r="F2871" s="52"/>
      <c r="G2871" s="53"/>
      <c r="H2871" s="53"/>
    </row>
    <row r="2872" spans="3:8" x14ac:dyDescent="0.15">
      <c r="C2872" s="53"/>
      <c r="D2872" s="50"/>
      <c r="E2872" s="51"/>
      <c r="F2872" s="52"/>
      <c r="G2872" s="53"/>
      <c r="H2872" s="53"/>
    </row>
    <row r="2873" spans="3:8" x14ac:dyDescent="0.15">
      <c r="C2873" s="53"/>
      <c r="D2873" s="50"/>
      <c r="E2873" s="51"/>
      <c r="F2873" s="52"/>
      <c r="G2873" s="53"/>
      <c r="H2873" s="53"/>
    </row>
    <row r="2874" spans="3:8" x14ac:dyDescent="0.15">
      <c r="C2874" s="53"/>
      <c r="D2874" s="50"/>
      <c r="E2874" s="51"/>
      <c r="F2874" s="52"/>
      <c r="G2874" s="53"/>
      <c r="H2874" s="53"/>
    </row>
    <row r="2875" spans="3:8" x14ac:dyDescent="0.15">
      <c r="C2875" s="53"/>
      <c r="D2875" s="50"/>
      <c r="E2875" s="51"/>
      <c r="F2875" s="52"/>
      <c r="G2875" s="53"/>
      <c r="H2875" s="53"/>
    </row>
    <row r="2876" spans="3:8" x14ac:dyDescent="0.15">
      <c r="C2876" s="53"/>
      <c r="D2876" s="50"/>
      <c r="E2876" s="51"/>
      <c r="F2876" s="52"/>
      <c r="G2876" s="53"/>
      <c r="H2876" s="53"/>
    </row>
    <row r="2877" spans="3:8" x14ac:dyDescent="0.15">
      <c r="C2877" s="53"/>
      <c r="D2877" s="50"/>
      <c r="E2877" s="51"/>
      <c r="F2877" s="52"/>
      <c r="G2877" s="53"/>
      <c r="H2877" s="53"/>
    </row>
    <row r="2878" spans="3:8" x14ac:dyDescent="0.15">
      <c r="C2878" s="53"/>
      <c r="D2878" s="50"/>
      <c r="E2878" s="51"/>
      <c r="F2878" s="52"/>
      <c r="G2878" s="53"/>
      <c r="H2878" s="53"/>
    </row>
    <row r="2879" spans="3:8" x14ac:dyDescent="0.15">
      <c r="C2879" s="53"/>
      <c r="D2879" s="50"/>
      <c r="E2879" s="51"/>
      <c r="F2879" s="52"/>
      <c r="G2879" s="53"/>
      <c r="H2879" s="53"/>
    </row>
    <row r="2880" spans="3:8" x14ac:dyDescent="0.15">
      <c r="C2880" s="53"/>
      <c r="D2880" s="50"/>
      <c r="E2880" s="51"/>
      <c r="F2880" s="52"/>
      <c r="G2880" s="53"/>
      <c r="H2880" s="53"/>
    </row>
    <row r="2881" spans="3:8" x14ac:dyDescent="0.15">
      <c r="C2881" s="53"/>
      <c r="D2881" s="50"/>
      <c r="E2881" s="51"/>
      <c r="F2881" s="52"/>
      <c r="G2881" s="53"/>
      <c r="H2881" s="53"/>
    </row>
    <row r="2882" spans="3:8" x14ac:dyDescent="0.15">
      <c r="C2882" s="53"/>
      <c r="D2882" s="50"/>
      <c r="E2882" s="51"/>
      <c r="F2882" s="52"/>
      <c r="G2882" s="53"/>
      <c r="H2882" s="53"/>
    </row>
    <row r="2883" spans="3:8" x14ac:dyDescent="0.15">
      <c r="C2883" s="53"/>
      <c r="D2883" s="50"/>
      <c r="E2883" s="51"/>
      <c r="F2883" s="52"/>
      <c r="G2883" s="53"/>
      <c r="H2883" s="53"/>
    </row>
    <row r="2884" spans="3:8" x14ac:dyDescent="0.15">
      <c r="C2884" s="53"/>
      <c r="D2884" s="50"/>
      <c r="E2884" s="51"/>
      <c r="F2884" s="52"/>
      <c r="G2884" s="53"/>
      <c r="H2884" s="53"/>
    </row>
    <row r="2885" spans="3:8" x14ac:dyDescent="0.15">
      <c r="C2885" s="53"/>
      <c r="D2885" s="50"/>
      <c r="E2885" s="51"/>
      <c r="F2885" s="52"/>
      <c r="G2885" s="53"/>
      <c r="H2885" s="53"/>
    </row>
    <row r="2886" spans="3:8" x14ac:dyDescent="0.15">
      <c r="C2886" s="53"/>
      <c r="D2886" s="50"/>
      <c r="E2886" s="51"/>
      <c r="F2886" s="52"/>
      <c r="G2886" s="53"/>
      <c r="H2886" s="53"/>
    </row>
    <row r="2887" spans="3:8" x14ac:dyDescent="0.15">
      <c r="C2887" s="53"/>
      <c r="D2887" s="50"/>
      <c r="E2887" s="51"/>
      <c r="F2887" s="52"/>
      <c r="G2887" s="53"/>
      <c r="H2887" s="53"/>
    </row>
    <row r="2888" spans="3:8" x14ac:dyDescent="0.15">
      <c r="C2888" s="53"/>
      <c r="D2888" s="50"/>
      <c r="E2888" s="51"/>
      <c r="F2888" s="52"/>
      <c r="G2888" s="53"/>
      <c r="H2888" s="53"/>
    </row>
    <row r="2889" spans="3:8" x14ac:dyDescent="0.15">
      <c r="C2889" s="53"/>
      <c r="D2889" s="50"/>
      <c r="E2889" s="51"/>
      <c r="F2889" s="52"/>
      <c r="G2889" s="53"/>
      <c r="H2889" s="53"/>
    </row>
    <row r="2890" spans="3:8" x14ac:dyDescent="0.15">
      <c r="C2890" s="53"/>
      <c r="D2890" s="50"/>
      <c r="E2890" s="51"/>
      <c r="F2890" s="52"/>
      <c r="G2890" s="53"/>
      <c r="H2890" s="53"/>
    </row>
    <row r="2891" spans="3:8" x14ac:dyDescent="0.15">
      <c r="C2891" s="53"/>
      <c r="D2891" s="50"/>
      <c r="E2891" s="51"/>
      <c r="F2891" s="52"/>
      <c r="G2891" s="53"/>
      <c r="H2891" s="53"/>
    </row>
    <row r="2892" spans="3:8" x14ac:dyDescent="0.15">
      <c r="C2892" s="53"/>
      <c r="D2892" s="50"/>
      <c r="E2892" s="51"/>
      <c r="F2892" s="52"/>
      <c r="G2892" s="53"/>
      <c r="H2892" s="53"/>
    </row>
    <row r="2893" spans="3:8" x14ac:dyDescent="0.15">
      <c r="C2893" s="53"/>
      <c r="D2893" s="50"/>
      <c r="E2893" s="51"/>
      <c r="F2893" s="52"/>
      <c r="G2893" s="53"/>
      <c r="H2893" s="53"/>
    </row>
    <row r="2894" spans="3:8" x14ac:dyDescent="0.15">
      <c r="C2894" s="53"/>
      <c r="D2894" s="50"/>
      <c r="E2894" s="51"/>
      <c r="F2894" s="52"/>
      <c r="G2894" s="53"/>
      <c r="H2894" s="53"/>
    </row>
    <row r="2895" spans="3:8" x14ac:dyDescent="0.15">
      <c r="C2895" s="53"/>
      <c r="D2895" s="50"/>
      <c r="E2895" s="51"/>
      <c r="F2895" s="52"/>
      <c r="G2895" s="53"/>
      <c r="H2895" s="53"/>
    </row>
    <row r="2896" spans="3:8" x14ac:dyDescent="0.15">
      <c r="C2896" s="53"/>
      <c r="D2896" s="50"/>
      <c r="E2896" s="51"/>
      <c r="F2896" s="52"/>
      <c r="G2896" s="53"/>
      <c r="H2896" s="53"/>
    </row>
    <row r="2897" spans="3:8" x14ac:dyDescent="0.15">
      <c r="C2897" s="53"/>
      <c r="D2897" s="50"/>
      <c r="E2897" s="51"/>
      <c r="F2897" s="52"/>
      <c r="G2897" s="53"/>
      <c r="H2897" s="53"/>
    </row>
    <row r="2898" spans="3:8" x14ac:dyDescent="0.15">
      <c r="C2898" s="53"/>
      <c r="D2898" s="50"/>
      <c r="E2898" s="51"/>
      <c r="F2898" s="52"/>
      <c r="G2898" s="53"/>
      <c r="H2898" s="53"/>
    </row>
    <row r="2899" spans="3:8" x14ac:dyDescent="0.15">
      <c r="C2899" s="53"/>
      <c r="D2899" s="50"/>
      <c r="E2899" s="51"/>
      <c r="F2899" s="52"/>
      <c r="G2899" s="53"/>
      <c r="H2899" s="53"/>
    </row>
    <row r="2900" spans="3:8" x14ac:dyDescent="0.15">
      <c r="C2900" s="53"/>
      <c r="D2900" s="50"/>
      <c r="E2900" s="51"/>
      <c r="F2900" s="52"/>
      <c r="G2900" s="53"/>
      <c r="H2900" s="53"/>
    </row>
    <row r="2901" spans="3:8" x14ac:dyDescent="0.15">
      <c r="C2901" s="53"/>
      <c r="D2901" s="50"/>
      <c r="E2901" s="51"/>
      <c r="F2901" s="52"/>
      <c r="G2901" s="53"/>
      <c r="H2901" s="53"/>
    </row>
    <row r="2902" spans="3:8" x14ac:dyDescent="0.15">
      <c r="C2902" s="53"/>
      <c r="D2902" s="50"/>
      <c r="E2902" s="51"/>
      <c r="F2902" s="52"/>
      <c r="G2902" s="53"/>
      <c r="H2902" s="53"/>
    </row>
    <row r="2903" spans="3:8" x14ac:dyDescent="0.15">
      <c r="C2903" s="53"/>
      <c r="D2903" s="50"/>
      <c r="E2903" s="51"/>
      <c r="F2903" s="52"/>
      <c r="G2903" s="53"/>
      <c r="H2903" s="53"/>
    </row>
    <row r="2904" spans="3:8" x14ac:dyDescent="0.15">
      <c r="C2904" s="53"/>
      <c r="D2904" s="50"/>
      <c r="E2904" s="51"/>
      <c r="F2904" s="52"/>
      <c r="G2904" s="53"/>
      <c r="H2904" s="53"/>
    </row>
    <row r="2905" spans="3:8" x14ac:dyDescent="0.15">
      <c r="C2905" s="53"/>
      <c r="D2905" s="50"/>
      <c r="E2905" s="51"/>
      <c r="F2905" s="52"/>
      <c r="G2905" s="53"/>
      <c r="H2905" s="53"/>
    </row>
    <row r="2906" spans="3:8" x14ac:dyDescent="0.15">
      <c r="C2906" s="53"/>
      <c r="D2906" s="50"/>
      <c r="E2906" s="51"/>
      <c r="F2906" s="52"/>
      <c r="G2906" s="53"/>
      <c r="H2906" s="53"/>
    </row>
    <row r="2907" spans="3:8" x14ac:dyDescent="0.15">
      <c r="C2907" s="53"/>
      <c r="D2907" s="50"/>
      <c r="E2907" s="51"/>
      <c r="F2907" s="52"/>
      <c r="G2907" s="53"/>
      <c r="H2907" s="53"/>
    </row>
    <row r="2908" spans="3:8" x14ac:dyDescent="0.15">
      <c r="C2908" s="53"/>
      <c r="D2908" s="50"/>
      <c r="E2908" s="51"/>
      <c r="F2908" s="52"/>
      <c r="G2908" s="53"/>
      <c r="H2908" s="53"/>
    </row>
    <row r="2909" spans="3:8" x14ac:dyDescent="0.15">
      <c r="C2909" s="53"/>
      <c r="D2909" s="50"/>
      <c r="E2909" s="51"/>
      <c r="F2909" s="52"/>
      <c r="G2909" s="53"/>
      <c r="H2909" s="53"/>
    </row>
    <row r="2910" spans="3:8" x14ac:dyDescent="0.15">
      <c r="C2910" s="53"/>
      <c r="D2910" s="50"/>
      <c r="E2910" s="51"/>
      <c r="F2910" s="52"/>
      <c r="G2910" s="53"/>
      <c r="H2910" s="53"/>
    </row>
    <row r="2911" spans="3:8" x14ac:dyDescent="0.15">
      <c r="C2911" s="53"/>
      <c r="D2911" s="50"/>
      <c r="E2911" s="51"/>
      <c r="F2911" s="52"/>
      <c r="G2911" s="53"/>
      <c r="H2911" s="53"/>
    </row>
    <row r="2912" spans="3:8" x14ac:dyDescent="0.15">
      <c r="C2912" s="53"/>
      <c r="D2912" s="50"/>
      <c r="E2912" s="51"/>
      <c r="F2912" s="52"/>
      <c r="G2912" s="53"/>
      <c r="H2912" s="53"/>
    </row>
    <row r="2913" spans="3:8" x14ac:dyDescent="0.15">
      <c r="C2913" s="53"/>
      <c r="D2913" s="50"/>
      <c r="E2913" s="51"/>
      <c r="F2913" s="52"/>
      <c r="G2913" s="53"/>
      <c r="H2913" s="53"/>
    </row>
    <row r="2914" spans="3:8" x14ac:dyDescent="0.15">
      <c r="C2914" s="53"/>
      <c r="D2914" s="50"/>
      <c r="E2914" s="51"/>
      <c r="F2914" s="52"/>
      <c r="G2914" s="53"/>
      <c r="H2914" s="53"/>
    </row>
    <row r="2915" spans="3:8" x14ac:dyDescent="0.15">
      <c r="C2915" s="53"/>
      <c r="D2915" s="50"/>
      <c r="E2915" s="51"/>
      <c r="F2915" s="52"/>
      <c r="G2915" s="53"/>
      <c r="H2915" s="53"/>
    </row>
    <row r="2916" spans="3:8" x14ac:dyDescent="0.15">
      <c r="C2916" s="53"/>
      <c r="D2916" s="50"/>
      <c r="E2916" s="51"/>
      <c r="F2916" s="52"/>
      <c r="G2916" s="53"/>
      <c r="H2916" s="53"/>
    </row>
    <row r="2917" spans="3:8" x14ac:dyDescent="0.15">
      <c r="C2917" s="53"/>
      <c r="D2917" s="50"/>
      <c r="E2917" s="51"/>
      <c r="F2917" s="52"/>
      <c r="G2917" s="53"/>
      <c r="H2917" s="53"/>
    </row>
    <row r="2918" spans="3:8" x14ac:dyDescent="0.15">
      <c r="C2918" s="53"/>
      <c r="D2918" s="50"/>
      <c r="E2918" s="51"/>
      <c r="F2918" s="52"/>
      <c r="G2918" s="53"/>
      <c r="H2918" s="53"/>
    </row>
    <row r="2919" spans="3:8" x14ac:dyDescent="0.15">
      <c r="C2919" s="53"/>
      <c r="D2919" s="50"/>
      <c r="E2919" s="51"/>
      <c r="F2919" s="52"/>
      <c r="G2919" s="53"/>
      <c r="H2919" s="53"/>
    </row>
    <row r="2920" spans="3:8" x14ac:dyDescent="0.15">
      <c r="C2920" s="53"/>
      <c r="D2920" s="50"/>
      <c r="E2920" s="51"/>
      <c r="F2920" s="52"/>
      <c r="G2920" s="53"/>
      <c r="H2920" s="53"/>
    </row>
    <row r="2921" spans="3:8" x14ac:dyDescent="0.15">
      <c r="C2921" s="53"/>
      <c r="D2921" s="50"/>
      <c r="E2921" s="51"/>
      <c r="F2921" s="52"/>
      <c r="G2921" s="53"/>
      <c r="H2921" s="53"/>
    </row>
    <row r="2922" spans="3:8" x14ac:dyDescent="0.15">
      <c r="C2922" s="53"/>
      <c r="D2922" s="50"/>
      <c r="E2922" s="51"/>
      <c r="F2922" s="52"/>
      <c r="G2922" s="53"/>
      <c r="H2922" s="53"/>
    </row>
    <row r="2923" spans="3:8" x14ac:dyDescent="0.15">
      <c r="C2923" s="53"/>
      <c r="D2923" s="50"/>
      <c r="E2923" s="51"/>
      <c r="F2923" s="52"/>
      <c r="G2923" s="53"/>
      <c r="H2923" s="53"/>
    </row>
    <row r="2924" spans="3:8" x14ac:dyDescent="0.15">
      <c r="C2924" s="53"/>
      <c r="D2924" s="50"/>
      <c r="E2924" s="51"/>
      <c r="F2924" s="52"/>
      <c r="G2924" s="53"/>
      <c r="H2924" s="53"/>
    </row>
    <row r="2925" spans="3:8" x14ac:dyDescent="0.15">
      <c r="C2925" s="53"/>
      <c r="D2925" s="50"/>
      <c r="E2925" s="51"/>
      <c r="F2925" s="52"/>
      <c r="G2925" s="53"/>
      <c r="H2925" s="53"/>
    </row>
    <row r="2926" spans="3:8" x14ac:dyDescent="0.15">
      <c r="C2926" s="53"/>
      <c r="D2926" s="50"/>
      <c r="E2926" s="51"/>
      <c r="F2926" s="52"/>
      <c r="G2926" s="53"/>
      <c r="H2926" s="53"/>
    </row>
    <row r="2927" spans="3:8" x14ac:dyDescent="0.15">
      <c r="C2927" s="53"/>
      <c r="D2927" s="50"/>
      <c r="E2927" s="51"/>
      <c r="F2927" s="52"/>
      <c r="G2927" s="53"/>
      <c r="H2927" s="53"/>
    </row>
    <row r="2928" spans="3:8" x14ac:dyDescent="0.15">
      <c r="C2928" s="53"/>
      <c r="D2928" s="50"/>
      <c r="E2928" s="51"/>
      <c r="F2928" s="52"/>
      <c r="G2928" s="53"/>
      <c r="H2928" s="53"/>
    </row>
    <row r="2929" spans="3:8" x14ac:dyDescent="0.15">
      <c r="C2929" s="53"/>
      <c r="D2929" s="50"/>
      <c r="E2929" s="51"/>
      <c r="F2929" s="52"/>
      <c r="G2929" s="53"/>
      <c r="H2929" s="53"/>
    </row>
    <row r="2930" spans="3:8" x14ac:dyDescent="0.15">
      <c r="C2930" s="53"/>
      <c r="D2930" s="50"/>
      <c r="E2930" s="51"/>
      <c r="F2930" s="52"/>
      <c r="G2930" s="53"/>
      <c r="H2930" s="53"/>
    </row>
    <row r="2931" spans="3:8" x14ac:dyDescent="0.15">
      <c r="C2931" s="53"/>
      <c r="D2931" s="50"/>
      <c r="E2931" s="51"/>
      <c r="F2931" s="52"/>
      <c r="G2931" s="53"/>
      <c r="H2931" s="53"/>
    </row>
    <row r="2932" spans="3:8" x14ac:dyDescent="0.15">
      <c r="C2932" s="53"/>
      <c r="D2932" s="50"/>
      <c r="E2932" s="51"/>
      <c r="F2932" s="52"/>
      <c r="G2932" s="53"/>
      <c r="H2932" s="53"/>
    </row>
    <row r="2933" spans="3:8" x14ac:dyDescent="0.15">
      <c r="C2933" s="53"/>
      <c r="D2933" s="50"/>
      <c r="E2933" s="51"/>
      <c r="F2933" s="52"/>
      <c r="G2933" s="53"/>
      <c r="H2933" s="53"/>
    </row>
    <row r="2934" spans="3:8" x14ac:dyDescent="0.15">
      <c r="C2934" s="53"/>
      <c r="D2934" s="50"/>
      <c r="E2934" s="51"/>
      <c r="F2934" s="52"/>
      <c r="G2934" s="53"/>
      <c r="H2934" s="53"/>
    </row>
    <row r="2935" spans="3:8" x14ac:dyDescent="0.15">
      <c r="C2935" s="53"/>
      <c r="D2935" s="50"/>
      <c r="E2935" s="51"/>
      <c r="F2935" s="52"/>
      <c r="G2935" s="53"/>
      <c r="H2935" s="53"/>
    </row>
    <row r="2936" spans="3:8" x14ac:dyDescent="0.15">
      <c r="C2936" s="53"/>
      <c r="D2936" s="50"/>
      <c r="E2936" s="51"/>
      <c r="F2936" s="52"/>
      <c r="G2936" s="53"/>
      <c r="H2936" s="53"/>
    </row>
    <row r="2937" spans="3:8" x14ac:dyDescent="0.15">
      <c r="C2937" s="53"/>
      <c r="D2937" s="50"/>
      <c r="E2937" s="51"/>
      <c r="F2937" s="52"/>
      <c r="G2937" s="53"/>
      <c r="H2937" s="53"/>
    </row>
    <row r="2938" spans="3:8" x14ac:dyDescent="0.15">
      <c r="C2938" s="53"/>
      <c r="D2938" s="50"/>
      <c r="E2938" s="51"/>
      <c r="F2938" s="52"/>
      <c r="G2938" s="53"/>
      <c r="H2938" s="53"/>
    </row>
    <row r="2939" spans="3:8" x14ac:dyDescent="0.15">
      <c r="C2939" s="53"/>
      <c r="D2939" s="50"/>
      <c r="E2939" s="51"/>
      <c r="F2939" s="52"/>
      <c r="G2939" s="53"/>
      <c r="H2939" s="53"/>
    </row>
    <row r="2940" spans="3:8" x14ac:dyDescent="0.15">
      <c r="C2940" s="53"/>
      <c r="D2940" s="50"/>
      <c r="E2940" s="51"/>
      <c r="F2940" s="52"/>
      <c r="G2940" s="53"/>
      <c r="H2940" s="53"/>
    </row>
    <row r="2941" spans="3:8" x14ac:dyDescent="0.15">
      <c r="C2941" s="53"/>
      <c r="D2941" s="50"/>
      <c r="E2941" s="51"/>
      <c r="F2941" s="52"/>
      <c r="G2941" s="53"/>
      <c r="H2941" s="53"/>
    </row>
    <row r="2942" spans="3:8" x14ac:dyDescent="0.15">
      <c r="C2942" s="53"/>
      <c r="D2942" s="50"/>
      <c r="E2942" s="51"/>
      <c r="F2942" s="52"/>
      <c r="G2942" s="53"/>
      <c r="H2942" s="53"/>
    </row>
    <row r="2943" spans="3:8" x14ac:dyDescent="0.15">
      <c r="C2943" s="53"/>
      <c r="D2943" s="50"/>
      <c r="E2943" s="51"/>
      <c r="F2943" s="52"/>
      <c r="G2943" s="53"/>
      <c r="H2943" s="53"/>
    </row>
    <row r="2944" spans="3:8" x14ac:dyDescent="0.15">
      <c r="C2944" s="53"/>
      <c r="D2944" s="50"/>
      <c r="E2944" s="51"/>
      <c r="F2944" s="52"/>
      <c r="G2944" s="53"/>
      <c r="H2944" s="53"/>
    </row>
    <row r="2945" spans="3:8" x14ac:dyDescent="0.15">
      <c r="C2945" s="53"/>
      <c r="D2945" s="50"/>
      <c r="E2945" s="51"/>
      <c r="F2945" s="52"/>
      <c r="G2945" s="53"/>
      <c r="H2945" s="53"/>
    </row>
    <row r="2946" spans="3:8" x14ac:dyDescent="0.15">
      <c r="C2946" s="53"/>
      <c r="D2946" s="50"/>
      <c r="E2946" s="51"/>
      <c r="F2946" s="52"/>
      <c r="G2946" s="53"/>
      <c r="H2946" s="53"/>
    </row>
    <row r="2947" spans="3:8" x14ac:dyDescent="0.15">
      <c r="C2947" s="53"/>
      <c r="D2947" s="50"/>
      <c r="E2947" s="51"/>
      <c r="F2947" s="52"/>
      <c r="G2947" s="53"/>
      <c r="H2947" s="53"/>
    </row>
    <row r="2948" spans="3:8" x14ac:dyDescent="0.15">
      <c r="C2948" s="53"/>
      <c r="D2948" s="50"/>
      <c r="E2948" s="51"/>
      <c r="F2948" s="52"/>
      <c r="G2948" s="53"/>
      <c r="H2948" s="53"/>
    </row>
    <row r="2949" spans="3:8" x14ac:dyDescent="0.15">
      <c r="C2949" s="53"/>
      <c r="D2949" s="50"/>
      <c r="E2949" s="51"/>
      <c r="F2949" s="52"/>
      <c r="G2949" s="53"/>
      <c r="H2949" s="53"/>
    </row>
    <row r="2950" spans="3:8" x14ac:dyDescent="0.15">
      <c r="C2950" s="53"/>
      <c r="D2950" s="50"/>
      <c r="E2950" s="51"/>
      <c r="F2950" s="52"/>
      <c r="G2950" s="53"/>
      <c r="H2950" s="53"/>
    </row>
    <row r="2951" spans="3:8" x14ac:dyDescent="0.15">
      <c r="C2951" s="53"/>
      <c r="D2951" s="50"/>
      <c r="E2951" s="51"/>
      <c r="F2951" s="52"/>
      <c r="G2951" s="53"/>
      <c r="H2951" s="53"/>
    </row>
    <row r="2952" spans="3:8" x14ac:dyDescent="0.15">
      <c r="C2952" s="53"/>
      <c r="D2952" s="50"/>
      <c r="E2952" s="51"/>
      <c r="F2952" s="52"/>
      <c r="G2952" s="53"/>
      <c r="H2952" s="53"/>
    </row>
    <row r="2953" spans="3:8" x14ac:dyDescent="0.15">
      <c r="C2953" s="53"/>
      <c r="D2953" s="50"/>
      <c r="E2953" s="51"/>
      <c r="F2953" s="52"/>
      <c r="G2953" s="53"/>
      <c r="H2953" s="53"/>
    </row>
    <row r="2954" spans="3:8" x14ac:dyDescent="0.15">
      <c r="C2954" s="53"/>
      <c r="D2954" s="50"/>
      <c r="E2954" s="51"/>
      <c r="F2954" s="52"/>
      <c r="G2954" s="53"/>
      <c r="H2954" s="53"/>
    </row>
    <row r="2955" spans="3:8" x14ac:dyDescent="0.15">
      <c r="C2955" s="53"/>
      <c r="D2955" s="50"/>
      <c r="E2955" s="51"/>
      <c r="F2955" s="52"/>
      <c r="G2955" s="53"/>
      <c r="H2955" s="53"/>
    </row>
    <row r="2956" spans="3:8" x14ac:dyDescent="0.15">
      <c r="C2956" s="53"/>
      <c r="D2956" s="50"/>
      <c r="E2956" s="51"/>
      <c r="F2956" s="52"/>
      <c r="G2956" s="53"/>
      <c r="H2956" s="53"/>
    </row>
    <row r="2957" spans="3:8" x14ac:dyDescent="0.15">
      <c r="C2957" s="53"/>
      <c r="D2957" s="50"/>
      <c r="E2957" s="51"/>
      <c r="F2957" s="52"/>
      <c r="G2957" s="53"/>
      <c r="H2957" s="53"/>
    </row>
    <row r="2958" spans="3:8" x14ac:dyDescent="0.15">
      <c r="C2958" s="53"/>
      <c r="D2958" s="50"/>
      <c r="E2958" s="51"/>
      <c r="F2958" s="52"/>
      <c r="G2958" s="53"/>
      <c r="H2958" s="53"/>
    </row>
    <row r="2959" spans="3:8" x14ac:dyDescent="0.15">
      <c r="C2959" s="53"/>
      <c r="D2959" s="50"/>
      <c r="E2959" s="51"/>
      <c r="F2959" s="52"/>
      <c r="G2959" s="53"/>
      <c r="H2959" s="53"/>
    </row>
    <row r="2960" spans="3:8" x14ac:dyDescent="0.15">
      <c r="C2960" s="53"/>
      <c r="D2960" s="50"/>
      <c r="E2960" s="51"/>
      <c r="F2960" s="52"/>
      <c r="G2960" s="53"/>
      <c r="H2960" s="53"/>
    </row>
    <row r="2961" spans="3:8" x14ac:dyDescent="0.15">
      <c r="C2961" s="53"/>
      <c r="D2961" s="50"/>
      <c r="E2961" s="51"/>
      <c r="F2961" s="52"/>
      <c r="G2961" s="53"/>
      <c r="H2961" s="53"/>
    </row>
    <row r="2962" spans="3:8" x14ac:dyDescent="0.15">
      <c r="C2962" s="53"/>
      <c r="D2962" s="50"/>
      <c r="E2962" s="51"/>
      <c r="F2962" s="52"/>
      <c r="G2962" s="53"/>
      <c r="H2962" s="53"/>
    </row>
    <row r="2963" spans="3:8" x14ac:dyDescent="0.15">
      <c r="C2963" s="53"/>
      <c r="D2963" s="50"/>
      <c r="E2963" s="51"/>
      <c r="F2963" s="52"/>
      <c r="G2963" s="53"/>
      <c r="H2963" s="53"/>
    </row>
    <row r="2964" spans="3:8" x14ac:dyDescent="0.15">
      <c r="C2964" s="53"/>
      <c r="D2964" s="50"/>
      <c r="E2964" s="51"/>
      <c r="F2964" s="52"/>
      <c r="G2964" s="53"/>
      <c r="H2964" s="53"/>
    </row>
    <row r="2965" spans="3:8" x14ac:dyDescent="0.15">
      <c r="C2965" s="53"/>
      <c r="D2965" s="50"/>
      <c r="E2965" s="51"/>
      <c r="F2965" s="52"/>
      <c r="G2965" s="53"/>
      <c r="H2965" s="53"/>
    </row>
    <row r="2966" spans="3:8" x14ac:dyDescent="0.15">
      <c r="C2966" s="53"/>
      <c r="D2966" s="50"/>
      <c r="E2966" s="51"/>
      <c r="F2966" s="52"/>
      <c r="G2966" s="53"/>
      <c r="H2966" s="53"/>
    </row>
    <row r="2967" spans="3:8" x14ac:dyDescent="0.15">
      <c r="C2967" s="53"/>
      <c r="D2967" s="50"/>
      <c r="E2967" s="51"/>
      <c r="F2967" s="52"/>
      <c r="G2967" s="53"/>
      <c r="H2967" s="53"/>
    </row>
    <row r="2968" spans="3:8" x14ac:dyDescent="0.15">
      <c r="C2968" s="53"/>
      <c r="D2968" s="50"/>
      <c r="E2968" s="51"/>
      <c r="F2968" s="52"/>
      <c r="G2968" s="53"/>
      <c r="H2968" s="53"/>
    </row>
    <row r="2969" spans="3:8" x14ac:dyDescent="0.15">
      <c r="C2969" s="53"/>
      <c r="D2969" s="50"/>
      <c r="E2969" s="51"/>
      <c r="F2969" s="52"/>
      <c r="G2969" s="53"/>
      <c r="H2969" s="53"/>
    </row>
    <row r="2970" spans="3:8" x14ac:dyDescent="0.15">
      <c r="C2970" s="53"/>
      <c r="D2970" s="50"/>
      <c r="E2970" s="51"/>
      <c r="F2970" s="52"/>
      <c r="G2970" s="53"/>
      <c r="H2970" s="53"/>
    </row>
    <row r="2971" spans="3:8" x14ac:dyDescent="0.15">
      <c r="C2971" s="53"/>
      <c r="D2971" s="50"/>
      <c r="E2971" s="51"/>
      <c r="F2971" s="52"/>
      <c r="G2971" s="53"/>
      <c r="H2971" s="53"/>
    </row>
    <row r="2972" spans="3:8" x14ac:dyDescent="0.15">
      <c r="C2972" s="53"/>
      <c r="D2972" s="50"/>
      <c r="E2972" s="51"/>
      <c r="F2972" s="52"/>
      <c r="G2972" s="53"/>
      <c r="H2972" s="53"/>
    </row>
    <row r="2973" spans="3:8" x14ac:dyDescent="0.15">
      <c r="C2973" s="53"/>
      <c r="D2973" s="50"/>
      <c r="E2973" s="51"/>
      <c r="F2973" s="52"/>
      <c r="G2973" s="53"/>
      <c r="H2973" s="53"/>
    </row>
    <row r="2974" spans="3:8" x14ac:dyDescent="0.15">
      <c r="C2974" s="53"/>
      <c r="D2974" s="50"/>
      <c r="E2974" s="51"/>
      <c r="F2974" s="52"/>
      <c r="G2974" s="53"/>
      <c r="H2974" s="53"/>
    </row>
    <row r="2975" spans="3:8" x14ac:dyDescent="0.15">
      <c r="C2975" s="53"/>
      <c r="D2975" s="50"/>
      <c r="E2975" s="51"/>
      <c r="F2975" s="52"/>
      <c r="G2975" s="53"/>
      <c r="H2975" s="53"/>
    </row>
    <row r="2976" spans="3:8" x14ac:dyDescent="0.15">
      <c r="C2976" s="53"/>
      <c r="D2976" s="50"/>
      <c r="E2976" s="51"/>
      <c r="F2976" s="52"/>
      <c r="G2976" s="53"/>
      <c r="H2976" s="53"/>
    </row>
    <row r="2977" spans="3:8" x14ac:dyDescent="0.15">
      <c r="C2977" s="53"/>
      <c r="D2977" s="50"/>
      <c r="E2977" s="51"/>
      <c r="F2977" s="52"/>
      <c r="G2977" s="53"/>
      <c r="H2977" s="53"/>
    </row>
    <row r="2978" spans="3:8" x14ac:dyDescent="0.15">
      <c r="C2978" s="53"/>
      <c r="D2978" s="50"/>
      <c r="E2978" s="51"/>
      <c r="F2978" s="52"/>
      <c r="G2978" s="53"/>
      <c r="H2978" s="53"/>
    </row>
    <row r="2979" spans="3:8" x14ac:dyDescent="0.15">
      <c r="C2979" s="53"/>
      <c r="D2979" s="50"/>
      <c r="E2979" s="51"/>
      <c r="F2979" s="52"/>
      <c r="G2979" s="53"/>
      <c r="H2979" s="53"/>
    </row>
    <row r="2980" spans="3:8" x14ac:dyDescent="0.15">
      <c r="C2980" s="53"/>
      <c r="D2980" s="50"/>
      <c r="E2980" s="51"/>
      <c r="F2980" s="52"/>
      <c r="G2980" s="53"/>
      <c r="H2980" s="53"/>
    </row>
    <row r="2981" spans="3:8" x14ac:dyDescent="0.15">
      <c r="C2981" s="53"/>
      <c r="D2981" s="50"/>
      <c r="E2981" s="51"/>
      <c r="F2981" s="52"/>
      <c r="G2981" s="53"/>
      <c r="H2981" s="53"/>
    </row>
    <row r="2982" spans="3:8" x14ac:dyDescent="0.15">
      <c r="C2982" s="53"/>
      <c r="D2982" s="50"/>
      <c r="E2982" s="51"/>
      <c r="F2982" s="52"/>
      <c r="G2982" s="53"/>
      <c r="H2982" s="53"/>
    </row>
    <row r="2983" spans="3:8" x14ac:dyDescent="0.15">
      <c r="C2983" s="53"/>
      <c r="D2983" s="50"/>
      <c r="E2983" s="51"/>
      <c r="F2983" s="52"/>
      <c r="G2983" s="53"/>
      <c r="H2983" s="53"/>
    </row>
    <row r="2984" spans="3:8" x14ac:dyDescent="0.15">
      <c r="C2984" s="53"/>
      <c r="D2984" s="50"/>
      <c r="E2984" s="51"/>
      <c r="F2984" s="52"/>
      <c r="G2984" s="53"/>
      <c r="H2984" s="53"/>
    </row>
    <row r="2985" spans="3:8" x14ac:dyDescent="0.15">
      <c r="C2985" s="53"/>
      <c r="D2985" s="50"/>
      <c r="E2985" s="51"/>
      <c r="F2985" s="52"/>
      <c r="G2985" s="53"/>
      <c r="H2985" s="53"/>
    </row>
    <row r="2986" spans="3:8" x14ac:dyDescent="0.15">
      <c r="C2986" s="53"/>
      <c r="D2986" s="50"/>
      <c r="E2986" s="51"/>
      <c r="F2986" s="52"/>
      <c r="G2986" s="53"/>
      <c r="H2986" s="53"/>
    </row>
    <row r="2987" spans="3:8" x14ac:dyDescent="0.15">
      <c r="C2987" s="53"/>
      <c r="D2987" s="50"/>
      <c r="E2987" s="51"/>
      <c r="F2987" s="52"/>
      <c r="G2987" s="53"/>
      <c r="H2987" s="53"/>
    </row>
    <row r="2988" spans="3:8" x14ac:dyDescent="0.15">
      <c r="C2988" s="53"/>
      <c r="D2988" s="50"/>
      <c r="E2988" s="51"/>
      <c r="F2988" s="52"/>
      <c r="G2988" s="53"/>
      <c r="H2988" s="53"/>
    </row>
    <row r="2989" spans="3:8" x14ac:dyDescent="0.15">
      <c r="C2989" s="53"/>
      <c r="D2989" s="50"/>
      <c r="E2989" s="51"/>
      <c r="F2989" s="52"/>
      <c r="G2989" s="53"/>
      <c r="H2989" s="53"/>
    </row>
    <row r="2990" spans="3:8" x14ac:dyDescent="0.15">
      <c r="C2990" s="53"/>
      <c r="D2990" s="50"/>
      <c r="E2990" s="51"/>
      <c r="F2990" s="52"/>
      <c r="G2990" s="53"/>
      <c r="H2990" s="53"/>
    </row>
    <row r="2991" spans="3:8" x14ac:dyDescent="0.15">
      <c r="C2991" s="53"/>
      <c r="D2991" s="50"/>
      <c r="E2991" s="51"/>
      <c r="F2991" s="52"/>
      <c r="G2991" s="53"/>
      <c r="H2991" s="53"/>
    </row>
    <row r="2992" spans="3:8" x14ac:dyDescent="0.15">
      <c r="C2992" s="53"/>
      <c r="D2992" s="50"/>
      <c r="E2992" s="51"/>
      <c r="F2992" s="52"/>
      <c r="G2992" s="53"/>
      <c r="H2992" s="53"/>
    </row>
    <row r="2993" spans="3:8" x14ac:dyDescent="0.15">
      <c r="C2993" s="53"/>
      <c r="D2993" s="50"/>
      <c r="E2993" s="51"/>
      <c r="F2993" s="52"/>
      <c r="G2993" s="53"/>
      <c r="H2993" s="53"/>
    </row>
    <row r="2994" spans="3:8" x14ac:dyDescent="0.15">
      <c r="C2994" s="53"/>
      <c r="D2994" s="50"/>
      <c r="E2994" s="51"/>
      <c r="F2994" s="52"/>
      <c r="G2994" s="53"/>
      <c r="H2994" s="53"/>
    </row>
    <row r="2995" spans="3:8" x14ac:dyDescent="0.15">
      <c r="C2995" s="53"/>
      <c r="D2995" s="50"/>
      <c r="E2995" s="51"/>
      <c r="F2995" s="52"/>
      <c r="G2995" s="53"/>
      <c r="H2995" s="53"/>
    </row>
    <row r="2996" spans="3:8" x14ac:dyDescent="0.15">
      <c r="C2996" s="53"/>
      <c r="D2996" s="50"/>
      <c r="E2996" s="51"/>
      <c r="F2996" s="52"/>
      <c r="G2996" s="53"/>
      <c r="H2996" s="53"/>
    </row>
    <row r="2997" spans="3:8" x14ac:dyDescent="0.15">
      <c r="C2997" s="53"/>
      <c r="D2997" s="50"/>
      <c r="E2997" s="51"/>
      <c r="F2997" s="52"/>
      <c r="G2997" s="53"/>
      <c r="H2997" s="53"/>
    </row>
    <row r="2998" spans="3:8" x14ac:dyDescent="0.15">
      <c r="C2998" s="53"/>
      <c r="D2998" s="50"/>
      <c r="E2998" s="51"/>
      <c r="F2998" s="52"/>
      <c r="G2998" s="53"/>
      <c r="H2998" s="53"/>
    </row>
    <row r="2999" spans="3:8" x14ac:dyDescent="0.15">
      <c r="C2999" s="53"/>
      <c r="D2999" s="50"/>
      <c r="E2999" s="51"/>
      <c r="F2999" s="52"/>
      <c r="G2999" s="53"/>
      <c r="H2999" s="53"/>
    </row>
    <row r="3000" spans="3:8" x14ac:dyDescent="0.15">
      <c r="C3000" s="53"/>
      <c r="D3000" s="50"/>
      <c r="E3000" s="51"/>
      <c r="F3000" s="52"/>
      <c r="G3000" s="53"/>
      <c r="H3000" s="53"/>
    </row>
    <row r="3001" spans="3:8" x14ac:dyDescent="0.15">
      <c r="C3001" s="53"/>
      <c r="D3001" s="50"/>
      <c r="E3001" s="51"/>
      <c r="F3001" s="52"/>
      <c r="G3001" s="53"/>
      <c r="H3001" s="53"/>
    </row>
    <row r="3002" spans="3:8" x14ac:dyDescent="0.15">
      <c r="C3002" s="53"/>
      <c r="D3002" s="50"/>
      <c r="E3002" s="51"/>
      <c r="F3002" s="52"/>
      <c r="G3002" s="53"/>
      <c r="H3002" s="53"/>
    </row>
    <row r="3003" spans="3:8" x14ac:dyDescent="0.15">
      <c r="C3003" s="53"/>
      <c r="D3003" s="50"/>
      <c r="E3003" s="51"/>
      <c r="F3003" s="52"/>
      <c r="G3003" s="53"/>
      <c r="H3003" s="53"/>
    </row>
    <row r="3004" spans="3:8" x14ac:dyDescent="0.15">
      <c r="C3004" s="53"/>
      <c r="D3004" s="50"/>
      <c r="E3004" s="51"/>
      <c r="F3004" s="52"/>
      <c r="G3004" s="53"/>
      <c r="H3004" s="53"/>
    </row>
    <row r="3005" spans="3:8" x14ac:dyDescent="0.15">
      <c r="C3005" s="53"/>
      <c r="D3005" s="50"/>
      <c r="E3005" s="51"/>
      <c r="F3005" s="52"/>
      <c r="G3005" s="53"/>
      <c r="H3005" s="53"/>
    </row>
    <row r="3006" spans="3:8" x14ac:dyDescent="0.15">
      <c r="C3006" s="53"/>
      <c r="D3006" s="50"/>
      <c r="E3006" s="51"/>
      <c r="F3006" s="52"/>
      <c r="G3006" s="53"/>
      <c r="H3006" s="53"/>
    </row>
    <row r="3007" spans="3:8" x14ac:dyDescent="0.15">
      <c r="C3007" s="53"/>
      <c r="D3007" s="50"/>
      <c r="E3007" s="51"/>
      <c r="F3007" s="52"/>
      <c r="G3007" s="53"/>
      <c r="H3007" s="53"/>
    </row>
    <row r="3008" spans="3:8" x14ac:dyDescent="0.15">
      <c r="C3008" s="53"/>
      <c r="D3008" s="50"/>
      <c r="E3008" s="51"/>
      <c r="F3008" s="52"/>
      <c r="G3008" s="53"/>
      <c r="H3008" s="53"/>
    </row>
  </sheetData>
  <mergeCells count="13">
    <mergeCell ref="I5:J6"/>
    <mergeCell ref="C11:H11"/>
    <mergeCell ref="J11:K11"/>
    <mergeCell ref="A3:B6"/>
    <mergeCell ref="C3:F4"/>
    <mergeCell ref="C5:F5"/>
    <mergeCell ref="C6:F6"/>
    <mergeCell ref="A7:I9"/>
    <mergeCell ref="G3:H3"/>
    <mergeCell ref="I3:J3"/>
    <mergeCell ref="G4:H4"/>
    <mergeCell ref="I4:J4"/>
    <mergeCell ref="G5:H6"/>
  </mergeCells>
  <dataValidations count="1">
    <dataValidation type="list" allowBlank="1" showInputMessage="1" showErrorMessage="1" sqref="D13:D3008" xr:uid="{00000000-0002-0000-0100-000000000000}">
      <formula1>$J$13:$J$54</formula1>
    </dataValidation>
  </dataValidations>
  <pageMargins left="0.28000000000000003" right="0.25" top="0.31" bottom="0.17" header="0.3" footer="0.17"/>
  <pageSetup orientation="landscape" r:id="rId1"/>
  <customProperties>
    <customPr name="DVSECTION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N36"/>
  <sheetViews>
    <sheetView showGridLines="0" tabSelected="1" zoomScaleNormal="100" workbookViewId="0">
      <selection activeCell="J36" sqref="J36"/>
    </sheetView>
  </sheetViews>
  <sheetFormatPr baseColWidth="10" defaultColWidth="11.5" defaultRowHeight="14" x14ac:dyDescent="0.15"/>
  <cols>
    <col min="1" max="1" width="11.5" style="5"/>
    <col min="2" max="2" width="9.6640625" style="5" customWidth="1"/>
    <col min="3" max="3" width="32.33203125" style="5" customWidth="1"/>
    <col min="4" max="4" width="15.33203125" style="58" customWidth="1"/>
    <col min="5" max="5" width="14.33203125" style="58" customWidth="1"/>
    <col min="6" max="6" width="14.33203125" style="5" customWidth="1"/>
    <col min="7" max="7" width="11.5" style="5"/>
    <col min="8" max="8" width="7.33203125" style="5" customWidth="1"/>
    <col min="9" max="9" width="7.1640625" style="5" customWidth="1"/>
    <col min="10" max="10" width="7.83203125" style="5" customWidth="1"/>
    <col min="11" max="16384" width="11.5" style="5"/>
  </cols>
  <sheetData>
    <row r="1" spans="1:14" ht="21" customHeight="1" x14ac:dyDescent="0.15">
      <c r="A1" s="114" t="s">
        <v>42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4" ht="16" customHeight="1" thickBot="1" x14ac:dyDescent="0.2">
      <c r="B2" s="28"/>
      <c r="C2" s="82"/>
      <c r="D2" s="124"/>
      <c r="E2" s="124"/>
      <c r="F2" s="124"/>
      <c r="G2" s="124"/>
      <c r="H2" s="124"/>
      <c r="I2" s="124"/>
    </row>
    <row r="3" spans="1:14" s="1" customFormat="1" ht="15" customHeight="1" x14ac:dyDescent="0.15">
      <c r="A3" s="129" t="s">
        <v>0</v>
      </c>
      <c r="B3" s="130"/>
      <c r="C3" s="135" t="s">
        <v>40</v>
      </c>
      <c r="D3" s="136"/>
      <c r="E3" s="136"/>
      <c r="F3" s="137"/>
      <c r="G3" s="125" t="s">
        <v>31</v>
      </c>
      <c r="H3" s="126"/>
      <c r="I3" s="147">
        <f>+INPUT!H3</f>
        <v>0</v>
      </c>
      <c r="J3" s="126"/>
      <c r="K3" s="38"/>
      <c r="L3" s="30"/>
      <c r="M3" s="30"/>
      <c r="N3" s="33"/>
    </row>
    <row r="4" spans="1:14" s="1" customFormat="1" ht="15" customHeight="1" x14ac:dyDescent="0.15">
      <c r="A4" s="131"/>
      <c r="B4" s="132"/>
      <c r="C4" s="138"/>
      <c r="D4" s="139"/>
      <c r="E4" s="139"/>
      <c r="F4" s="140"/>
      <c r="G4" s="127" t="s">
        <v>32</v>
      </c>
      <c r="H4" s="128"/>
      <c r="I4" s="148">
        <f>+INPUT!H4</f>
        <v>0</v>
      </c>
      <c r="J4" s="128"/>
      <c r="K4" s="38"/>
      <c r="L4" s="30"/>
      <c r="M4" s="30"/>
      <c r="N4" s="33"/>
    </row>
    <row r="5" spans="1:14" s="1" customFormat="1" ht="15" customHeight="1" x14ac:dyDescent="0.15">
      <c r="A5" s="131"/>
      <c r="B5" s="132"/>
      <c r="C5" s="141" t="s">
        <v>34</v>
      </c>
      <c r="D5" s="142"/>
      <c r="E5" s="142"/>
      <c r="F5" s="143"/>
      <c r="G5" s="120" t="s">
        <v>33</v>
      </c>
      <c r="H5" s="121"/>
      <c r="I5" s="149">
        <f>+INPUT!H5</f>
        <v>0</v>
      </c>
      <c r="J5" s="121"/>
      <c r="K5" s="39"/>
      <c r="L5" s="31"/>
      <c r="M5" s="31"/>
      <c r="N5" s="33"/>
    </row>
    <row r="6" spans="1:14" s="1" customFormat="1" ht="15" customHeight="1" thickBot="1" x14ac:dyDescent="0.2">
      <c r="A6" s="133"/>
      <c r="B6" s="134"/>
      <c r="C6" s="144" t="s">
        <v>41</v>
      </c>
      <c r="D6" s="145"/>
      <c r="E6" s="145"/>
      <c r="F6" s="146"/>
      <c r="G6" s="122"/>
      <c r="H6" s="123"/>
      <c r="I6" s="150"/>
      <c r="J6" s="123"/>
      <c r="K6" s="39"/>
      <c r="L6" s="31"/>
      <c r="M6" s="31"/>
      <c r="N6" s="33"/>
    </row>
    <row r="7" spans="1:14" ht="15" customHeight="1" x14ac:dyDescent="0.15">
      <c r="B7" s="118" t="s">
        <v>45</v>
      </c>
      <c r="C7" s="118"/>
      <c r="D7" s="118"/>
      <c r="E7" s="118"/>
      <c r="F7" s="118"/>
      <c r="G7" s="118"/>
      <c r="H7" s="118"/>
      <c r="I7" s="118"/>
    </row>
    <row r="8" spans="1:14" ht="33" customHeight="1" x14ac:dyDescent="0.15">
      <c r="B8" s="119"/>
      <c r="C8" s="119"/>
      <c r="D8" s="119"/>
      <c r="E8" s="119"/>
      <c r="F8" s="119"/>
      <c r="G8" s="119"/>
      <c r="H8" s="119"/>
      <c r="I8" s="119"/>
    </row>
    <row r="9" spans="1:14" ht="24" customHeight="1" x14ac:dyDescent="0.15">
      <c r="A9" s="151" t="s">
        <v>35</v>
      </c>
      <c r="B9" s="151"/>
      <c r="C9" s="151"/>
      <c r="D9" s="151"/>
      <c r="E9" s="151"/>
      <c r="F9" s="151"/>
      <c r="G9" s="151"/>
      <c r="H9" s="151"/>
      <c r="I9" s="151"/>
      <c r="J9" s="151"/>
    </row>
    <row r="10" spans="1:14" ht="15" thickBot="1" x14ac:dyDescent="0.2">
      <c r="E10" s="61" t="s">
        <v>36</v>
      </c>
      <c r="F10" s="62">
        <f ca="1">TODAY()</f>
        <v>44363</v>
      </c>
    </row>
    <row r="11" spans="1:14" ht="23.25" customHeight="1" x14ac:dyDescent="0.15">
      <c r="C11" s="115" t="s">
        <v>43</v>
      </c>
      <c r="D11" s="116"/>
      <c r="E11" s="116"/>
      <c r="F11" s="117"/>
    </row>
    <row r="12" spans="1:14" ht="24" customHeight="1" thickBot="1" x14ac:dyDescent="0.2">
      <c r="C12" s="63" t="s">
        <v>37</v>
      </c>
      <c r="D12" s="64" t="s">
        <v>38</v>
      </c>
      <c r="E12" s="65" t="s">
        <v>44</v>
      </c>
      <c r="F12" s="66" t="s">
        <v>39</v>
      </c>
    </row>
    <row r="13" spans="1:14" x14ac:dyDescent="0.15">
      <c r="C13" s="73"/>
      <c r="D13" s="67">
        <f>E13-F13</f>
        <v>0</v>
      </c>
      <c r="E13" s="68">
        <f>INPUT!K13</f>
        <v>0</v>
      </c>
      <c r="F13" s="69">
        <f>OUTPUT!K13</f>
        <v>0</v>
      </c>
    </row>
    <row r="14" spans="1:14" x14ac:dyDescent="0.15">
      <c r="C14" s="74"/>
      <c r="D14" s="70">
        <f t="shared" ref="D14:D36" si="0">E14-F14</f>
        <v>0</v>
      </c>
      <c r="E14" s="71">
        <f>INPUT!K14</f>
        <v>0</v>
      </c>
      <c r="F14" s="72">
        <f>OUTPUT!K14</f>
        <v>0</v>
      </c>
    </row>
    <row r="15" spans="1:14" x14ac:dyDescent="0.15">
      <c r="C15" s="74"/>
      <c r="D15" s="70">
        <f t="shared" si="0"/>
        <v>0</v>
      </c>
      <c r="E15" s="71">
        <f>INPUT!K15</f>
        <v>0</v>
      </c>
      <c r="F15" s="72">
        <f>OUTPUT!K15</f>
        <v>0</v>
      </c>
    </row>
    <row r="16" spans="1:14" x14ac:dyDescent="0.15">
      <c r="C16" s="74"/>
      <c r="D16" s="70">
        <f t="shared" si="0"/>
        <v>0</v>
      </c>
      <c r="E16" s="71">
        <f>INPUT!K16</f>
        <v>0</v>
      </c>
      <c r="F16" s="72">
        <f>OUTPUT!K16</f>
        <v>0</v>
      </c>
    </row>
    <row r="17" spans="3:6" x14ac:dyDescent="0.15">
      <c r="C17" s="74"/>
      <c r="D17" s="70">
        <f t="shared" si="0"/>
        <v>0</v>
      </c>
      <c r="E17" s="71">
        <f>INPUT!K17</f>
        <v>0</v>
      </c>
      <c r="F17" s="72">
        <f>OUTPUT!K17</f>
        <v>0</v>
      </c>
    </row>
    <row r="18" spans="3:6" x14ac:dyDescent="0.15">
      <c r="C18" s="74"/>
      <c r="D18" s="70">
        <f t="shared" si="0"/>
        <v>0</v>
      </c>
      <c r="E18" s="71">
        <f>INPUT!K18</f>
        <v>0</v>
      </c>
      <c r="F18" s="72">
        <f>OUTPUT!K18</f>
        <v>0</v>
      </c>
    </row>
    <row r="19" spans="3:6" x14ac:dyDescent="0.15">
      <c r="C19" s="74"/>
      <c r="D19" s="70">
        <f t="shared" si="0"/>
        <v>0</v>
      </c>
      <c r="E19" s="71">
        <f>INPUT!K19</f>
        <v>0</v>
      </c>
      <c r="F19" s="72">
        <f>OUTPUT!K19</f>
        <v>0</v>
      </c>
    </row>
    <row r="20" spans="3:6" x14ac:dyDescent="0.15">
      <c r="C20" s="74"/>
      <c r="D20" s="70">
        <f t="shared" si="0"/>
        <v>0</v>
      </c>
      <c r="E20" s="71">
        <f>INPUT!K20</f>
        <v>0</v>
      </c>
      <c r="F20" s="72">
        <f>OUTPUT!K20</f>
        <v>0</v>
      </c>
    </row>
    <row r="21" spans="3:6" x14ac:dyDescent="0.15">
      <c r="C21" s="74"/>
      <c r="D21" s="70">
        <f t="shared" si="0"/>
        <v>0</v>
      </c>
      <c r="E21" s="71">
        <f>INPUT!K21</f>
        <v>0</v>
      </c>
      <c r="F21" s="72">
        <f>OUTPUT!K21</f>
        <v>0</v>
      </c>
    </row>
    <row r="22" spans="3:6" x14ac:dyDescent="0.15">
      <c r="C22" s="74"/>
      <c r="D22" s="70">
        <f t="shared" si="0"/>
        <v>0</v>
      </c>
      <c r="E22" s="71">
        <f>INPUT!K22</f>
        <v>0</v>
      </c>
      <c r="F22" s="72">
        <f>OUTPUT!K22</f>
        <v>0</v>
      </c>
    </row>
    <row r="23" spans="3:6" x14ac:dyDescent="0.15">
      <c r="C23" s="74"/>
      <c r="D23" s="70">
        <f t="shared" si="0"/>
        <v>0</v>
      </c>
      <c r="E23" s="71">
        <f>INPUT!K23</f>
        <v>0</v>
      </c>
      <c r="F23" s="72">
        <f>OUTPUT!K23</f>
        <v>0</v>
      </c>
    </row>
    <row r="24" spans="3:6" x14ac:dyDescent="0.15">
      <c r="C24" s="74"/>
      <c r="D24" s="70">
        <f t="shared" si="0"/>
        <v>0</v>
      </c>
      <c r="E24" s="71">
        <f>INPUT!K24</f>
        <v>0</v>
      </c>
      <c r="F24" s="72">
        <f>OUTPUT!K24</f>
        <v>0</v>
      </c>
    </row>
    <row r="25" spans="3:6" x14ac:dyDescent="0.15">
      <c r="C25" s="74"/>
      <c r="D25" s="70">
        <f t="shared" si="0"/>
        <v>0</v>
      </c>
      <c r="E25" s="71">
        <f>INPUT!K25</f>
        <v>0</v>
      </c>
      <c r="F25" s="72">
        <f>OUTPUT!K25</f>
        <v>0</v>
      </c>
    </row>
    <row r="26" spans="3:6" x14ac:dyDescent="0.15">
      <c r="C26" s="74"/>
      <c r="D26" s="70">
        <f t="shared" si="0"/>
        <v>0</v>
      </c>
      <c r="E26" s="71">
        <f>INPUT!K26</f>
        <v>0</v>
      </c>
      <c r="F26" s="72">
        <f>OUTPUT!K26</f>
        <v>0</v>
      </c>
    </row>
    <row r="27" spans="3:6" x14ac:dyDescent="0.15">
      <c r="C27" s="74"/>
      <c r="D27" s="70">
        <f t="shared" si="0"/>
        <v>0</v>
      </c>
      <c r="E27" s="71">
        <f>INPUT!K27</f>
        <v>0</v>
      </c>
      <c r="F27" s="72">
        <f>OUTPUT!K27</f>
        <v>0</v>
      </c>
    </row>
    <row r="28" spans="3:6" x14ac:dyDescent="0.15">
      <c r="C28" s="74"/>
      <c r="D28" s="70">
        <f t="shared" si="0"/>
        <v>0</v>
      </c>
      <c r="E28" s="71">
        <f>INPUT!K28</f>
        <v>0</v>
      </c>
      <c r="F28" s="72">
        <f>OUTPUT!K28</f>
        <v>0</v>
      </c>
    </row>
    <row r="29" spans="3:6" x14ac:dyDescent="0.15">
      <c r="C29" s="74"/>
      <c r="D29" s="70">
        <f t="shared" si="0"/>
        <v>0</v>
      </c>
      <c r="E29" s="71">
        <f>INPUT!K29</f>
        <v>0</v>
      </c>
      <c r="F29" s="72">
        <f>OUTPUT!K29</f>
        <v>0</v>
      </c>
    </row>
    <row r="30" spans="3:6" x14ac:dyDescent="0.15">
      <c r="C30" s="74"/>
      <c r="D30" s="70">
        <f t="shared" si="0"/>
        <v>0</v>
      </c>
      <c r="E30" s="71">
        <f>INPUT!K30</f>
        <v>0</v>
      </c>
      <c r="F30" s="72">
        <f>OUTPUT!K30</f>
        <v>0</v>
      </c>
    </row>
    <row r="31" spans="3:6" x14ac:dyDescent="0.15">
      <c r="C31" s="74"/>
      <c r="D31" s="70">
        <f t="shared" si="0"/>
        <v>0</v>
      </c>
      <c r="E31" s="71">
        <f>INPUT!K31</f>
        <v>0</v>
      </c>
      <c r="F31" s="72">
        <f>OUTPUT!K31</f>
        <v>0</v>
      </c>
    </row>
    <row r="32" spans="3:6" x14ac:dyDescent="0.15">
      <c r="C32" s="74"/>
      <c r="D32" s="70">
        <f t="shared" si="0"/>
        <v>0</v>
      </c>
      <c r="E32" s="71">
        <f>INPUT!K32</f>
        <v>0</v>
      </c>
      <c r="F32" s="72">
        <f>OUTPUT!K32</f>
        <v>0</v>
      </c>
    </row>
    <row r="33" spans="3:6" x14ac:dyDescent="0.15">
      <c r="C33" s="74"/>
      <c r="D33" s="70">
        <f t="shared" si="0"/>
        <v>0</v>
      </c>
      <c r="E33" s="71">
        <f>INPUT!K33</f>
        <v>0</v>
      </c>
      <c r="F33" s="72">
        <f>OUTPUT!K33</f>
        <v>0</v>
      </c>
    </row>
    <row r="34" spans="3:6" x14ac:dyDescent="0.15">
      <c r="C34" s="74"/>
      <c r="D34" s="70">
        <f t="shared" si="0"/>
        <v>0</v>
      </c>
      <c r="E34" s="71">
        <f>INPUT!K34</f>
        <v>0</v>
      </c>
      <c r="F34" s="72">
        <f>OUTPUT!K34</f>
        <v>0</v>
      </c>
    </row>
    <row r="35" spans="3:6" x14ac:dyDescent="0.15">
      <c r="C35" s="74"/>
      <c r="D35" s="70">
        <f t="shared" si="0"/>
        <v>0</v>
      </c>
      <c r="E35" s="71">
        <f>INPUT!K35</f>
        <v>0</v>
      </c>
      <c r="F35" s="72">
        <f>OUTPUT!K35</f>
        <v>0</v>
      </c>
    </row>
    <row r="36" spans="3:6" x14ac:dyDescent="0.15">
      <c r="C36" s="74"/>
      <c r="D36" s="70">
        <f t="shared" si="0"/>
        <v>0</v>
      </c>
      <c r="E36" s="71">
        <f>INPUT!K36</f>
        <v>0</v>
      </c>
      <c r="F36" s="72">
        <f>OUTPUT!K36</f>
        <v>0</v>
      </c>
    </row>
  </sheetData>
  <mergeCells count="15">
    <mergeCell ref="A1:J1"/>
    <mergeCell ref="C11:F11"/>
    <mergeCell ref="B7:I8"/>
    <mergeCell ref="G5:H6"/>
    <mergeCell ref="D2:I2"/>
    <mergeCell ref="G3:H3"/>
    <mergeCell ref="G4:H4"/>
    <mergeCell ref="A3:B6"/>
    <mergeCell ref="C3:F4"/>
    <mergeCell ref="C5:F5"/>
    <mergeCell ref="C6:F6"/>
    <mergeCell ref="I3:J3"/>
    <mergeCell ref="I4:J4"/>
    <mergeCell ref="I5:J6"/>
    <mergeCell ref="A9:J9"/>
  </mergeCells>
  <printOptions horizontalCentered="1"/>
  <pageMargins left="0.27559055118110237" right="0.23622047244094491" top="0.31496062992125984" bottom="0.17" header="0.31496062992125984" footer="0.17"/>
  <pageSetup orientation="landscape" r:id="rId1"/>
  <customProperties>
    <customPr name="DVSECTION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/>
  <dimension ref="A1:IV100"/>
  <sheetViews>
    <sheetView workbookViewId="0">
      <selection activeCell="A100" sqref="A100"/>
    </sheetView>
  </sheetViews>
  <sheetFormatPr baseColWidth="10" defaultColWidth="11.5" defaultRowHeight="15" x14ac:dyDescent="0.2"/>
  <sheetData>
    <row r="1" spans="1:256" x14ac:dyDescent="0.2">
      <c r="A1">
        <f>IF(INPUT!1:1,"AAAAAH/d6wA=",0)</f>
        <v>0</v>
      </c>
      <c r="B1" t="e">
        <f>AND(INPUT!C1,"AAAAAH/d6wE=")</f>
        <v>#VALUE!</v>
      </c>
      <c r="C1" t="e">
        <f>AND(INPUT!D1,"AAAAAH/d6wI=")</f>
        <v>#VALUE!</v>
      </c>
      <c r="D1" t="e">
        <f>AND(INPUT!E1,"AAAAAH/d6wM=")</f>
        <v>#VALUE!</v>
      </c>
      <c r="E1" t="e">
        <f>AND(INPUT!#REF!,"AAAAAH/d6wQ=")</f>
        <v>#REF!</v>
      </c>
      <c r="F1" t="e">
        <f>AND(INPUT!H1,"AAAAAH/d6wU=")</f>
        <v>#VALUE!</v>
      </c>
      <c r="G1" t="e">
        <f>AND(INPUT!#REF!,"AAAAAH/d6wY=")</f>
        <v>#REF!</v>
      </c>
      <c r="H1" t="e">
        <f>AND(INPUT!I1,"AAAAAH/d6wc=")</f>
        <v>#VALUE!</v>
      </c>
      <c r="I1" t="e">
        <f>AND(INPUT!#REF!,"AAAAAH/d6wg=")</f>
        <v>#REF!</v>
      </c>
      <c r="J1">
        <f>IF(INPUT!7:7,"AAAAAH/d6wk=",0)</f>
        <v>0</v>
      </c>
      <c r="K1" t="e">
        <f>AND(INPUT!C7,"AAAAAH/d6wo=")</f>
        <v>#VALUE!</v>
      </c>
      <c r="L1" t="e">
        <f>AND(INPUT!D7,"AAAAAH/d6ws=")</f>
        <v>#VALUE!</v>
      </c>
      <c r="M1" t="e">
        <f>AND(INPUT!E7,"AAAAAH/d6ww=")</f>
        <v>#VALUE!</v>
      </c>
      <c r="N1" t="e">
        <f>AND(INPUT!#REF!,"AAAAAH/d6w0=")</f>
        <v>#REF!</v>
      </c>
      <c r="O1" t="e">
        <f>AND(INPUT!#REF!,"AAAAAH/d6w4=")</f>
        <v>#REF!</v>
      </c>
      <c r="P1" t="e">
        <f>AND(INPUT!#REF!,"AAAAAH/d6w8=")</f>
        <v>#REF!</v>
      </c>
      <c r="Q1" t="e">
        <f>AND(INPUT!#REF!,"AAAAAH/d6xA=")</f>
        <v>#REF!</v>
      </c>
      <c r="R1" t="e">
        <f>AND(INPUT!#REF!,"AAAAAH/d6xE=")</f>
        <v>#REF!</v>
      </c>
      <c r="S1">
        <f>IF(INPUT!8:8,"AAAAAH/d6xI=",0)</f>
        <v>0</v>
      </c>
      <c r="T1" t="e">
        <f>AND(INPUT!C8,"AAAAAH/d6xM=")</f>
        <v>#VALUE!</v>
      </c>
      <c r="U1" t="e">
        <f>AND(INPUT!D8,"AAAAAH/d6xQ=")</f>
        <v>#VALUE!</v>
      </c>
      <c r="V1" t="e">
        <f>AND(INPUT!E8,"AAAAAH/d6xU=")</f>
        <v>#VALUE!</v>
      </c>
      <c r="W1" t="e">
        <f>AND(INPUT!#REF!,"AAAAAH/d6xY=")</f>
        <v>#REF!</v>
      </c>
      <c r="X1" t="e">
        <f>AND(INPUT!#REF!,"AAAAAH/d6xc=")</f>
        <v>#REF!</v>
      </c>
      <c r="Y1" t="e">
        <f>AND(INPUT!#REF!,"AAAAAH/d6xg=")</f>
        <v>#REF!</v>
      </c>
      <c r="Z1" t="e">
        <f>AND(INPUT!#REF!,"AAAAAH/d6xk=")</f>
        <v>#REF!</v>
      </c>
      <c r="AA1" t="e">
        <f>AND(INPUT!#REF!,"AAAAAH/d6xo=")</f>
        <v>#REF!</v>
      </c>
      <c r="AB1">
        <f>IF(INPUT!9:9,"AAAAAH/d6xs=",0)</f>
        <v>0</v>
      </c>
      <c r="AC1" t="e">
        <f>AND(INPUT!C9,"AAAAAH/d6xw=")</f>
        <v>#VALUE!</v>
      </c>
      <c r="AD1" t="e">
        <f>AND(INPUT!D9,"AAAAAH/d6x0=")</f>
        <v>#VALUE!</v>
      </c>
      <c r="AE1" t="e">
        <f>AND(INPUT!E9,"AAAAAH/d6x4=")</f>
        <v>#VALUE!</v>
      </c>
      <c r="AF1" t="e">
        <f>AND(INPUT!#REF!,"AAAAAH/d6x8=")</f>
        <v>#REF!</v>
      </c>
      <c r="AG1" t="e">
        <f>AND(INPUT!#REF!,"AAAAAH/d6yA=")</f>
        <v>#REF!</v>
      </c>
      <c r="AH1" t="e">
        <f>AND(INPUT!#REF!,"AAAAAH/d6yE=")</f>
        <v>#REF!</v>
      </c>
      <c r="AI1" t="e">
        <f>AND(INPUT!#REF!,"AAAAAH/d6yI=")</f>
        <v>#REF!</v>
      </c>
      <c r="AJ1" t="e">
        <f>AND(INPUT!#REF!,"AAAAAH/d6yM=")</f>
        <v>#REF!</v>
      </c>
      <c r="AK1">
        <f>IF(INPUT!10:10,"AAAAAH/d6yQ=",0)</f>
        <v>0</v>
      </c>
      <c r="AL1" t="e">
        <f>AND(INPUT!C10,"AAAAAH/d6yU=")</f>
        <v>#VALUE!</v>
      </c>
      <c r="AM1" t="e">
        <f>AND(INPUT!D10,"AAAAAH/d6yY=")</f>
        <v>#VALUE!</v>
      </c>
      <c r="AN1" t="e">
        <f>AND(INPUT!E10,"AAAAAH/d6yc=")</f>
        <v>#VALUE!</v>
      </c>
      <c r="AO1" t="e">
        <f>AND(INPUT!#REF!,"AAAAAH/d6yg=")</f>
        <v>#REF!</v>
      </c>
      <c r="AP1" t="e">
        <f>AND(INPUT!#REF!,"AAAAAH/d6yk=")</f>
        <v>#REF!</v>
      </c>
      <c r="AQ1" t="e">
        <f>AND(INPUT!#REF!,"AAAAAH/d6yo=")</f>
        <v>#REF!</v>
      </c>
      <c r="AR1" t="e">
        <f>AND(INPUT!#REF!,"AAAAAH/d6ys=")</f>
        <v>#REF!</v>
      </c>
      <c r="AS1" t="e">
        <f>AND(INPUT!#REF!,"AAAAAH/d6yw=")</f>
        <v>#REF!</v>
      </c>
      <c r="AT1">
        <f>IF(INPUT!11:11,"AAAAAH/d6y0=",0)</f>
        <v>0</v>
      </c>
      <c r="AU1" t="e">
        <f>AND(INPUT!C11,"AAAAAH/d6y4=")</f>
        <v>#VALUE!</v>
      </c>
      <c r="AV1" t="e">
        <f>AND(INPUT!D11,"AAAAAH/d6y8=")</f>
        <v>#VALUE!</v>
      </c>
      <c r="AW1" t="e">
        <f>AND(INPUT!E11,"AAAAAH/d6zA=")</f>
        <v>#VALUE!</v>
      </c>
      <c r="AX1" t="e">
        <f>AND(INPUT!#REF!,"AAAAAH/d6zE=")</f>
        <v>#REF!</v>
      </c>
      <c r="AY1" t="e">
        <f>AND(INPUT!H11,"AAAAAH/d6zI=")</f>
        <v>#VALUE!</v>
      </c>
      <c r="AZ1" t="e">
        <f>AND(INPUT!#REF!,"AAAAAH/d6zM=")</f>
        <v>#REF!</v>
      </c>
      <c r="BA1" t="e">
        <f>AND(INPUT!I11,"AAAAAH/d6zQ=")</f>
        <v>#VALUE!</v>
      </c>
      <c r="BB1" t="e">
        <f>AND(INPUT!#REF!,"AAAAAH/d6zU=")</f>
        <v>#REF!</v>
      </c>
      <c r="BC1">
        <f>IF(INPUT!12:12,"AAAAAH/d6zY=",0)</f>
        <v>0</v>
      </c>
      <c r="BD1" t="e">
        <f>AND(INPUT!C14,"AAAAAH/d6zc=")</f>
        <v>#VALUE!</v>
      </c>
      <c r="BE1" t="e">
        <f>AND(INPUT!D14,"AAAAAH/d6zg=")</f>
        <v>#VALUE!</v>
      </c>
      <c r="BF1" t="e">
        <f>AND(INPUT!E14,"AAAAAH/d6zk=")</f>
        <v>#VALUE!</v>
      </c>
      <c r="BG1" t="e">
        <f>AND(INPUT!#REF!,"AAAAAH/d6zo=")</f>
        <v>#REF!</v>
      </c>
      <c r="BH1" t="e">
        <f>AND(INPUT!H12,"AAAAAH/d6zs=")</f>
        <v>#VALUE!</v>
      </c>
      <c r="BI1" t="e">
        <f>AND(INPUT!#REF!,"AAAAAH/d6zw=")</f>
        <v>#REF!</v>
      </c>
      <c r="BJ1" t="e">
        <f>AND(INPUT!I12,"AAAAAH/d6z0=")</f>
        <v>#VALUE!</v>
      </c>
      <c r="BK1" t="e">
        <f>AND(INPUT!#REF!,"AAAAAH/d6z4=")</f>
        <v>#REF!</v>
      </c>
      <c r="BL1">
        <f>IF(INPUT!14:14,"AAAAAH/d6z8=",0)</f>
        <v>0</v>
      </c>
      <c r="BM1" t="e">
        <f>AND(INPUT!C15,"AAAAAH/d60A=")</f>
        <v>#VALUE!</v>
      </c>
      <c r="BN1" t="e">
        <f>AND(INPUT!D15,"AAAAAH/d60E=")</f>
        <v>#VALUE!</v>
      </c>
      <c r="BO1" t="e">
        <f>AND(INPUT!E15,"AAAAAH/d60I=")</f>
        <v>#VALUE!</v>
      </c>
      <c r="BP1" t="e">
        <f>AND(INPUT!#REF!,"AAAAAH/d60M=")</f>
        <v>#REF!</v>
      </c>
      <c r="BQ1" t="e">
        <f>AND(INPUT!H14,"AAAAAH/d60Q=")</f>
        <v>#VALUE!</v>
      </c>
      <c r="BR1" t="e">
        <f>AND(INPUT!#REF!,"AAAAAH/d60U=")</f>
        <v>#REF!</v>
      </c>
      <c r="BS1" t="e">
        <f>AND(INPUT!I14,"AAAAAH/d60Y=")</f>
        <v>#VALUE!</v>
      </c>
      <c r="BT1" t="e">
        <f>AND(INPUT!#REF!,"AAAAAH/d60c=")</f>
        <v>#REF!</v>
      </c>
      <c r="BU1">
        <f>IF(INPUT!15:15,"AAAAAH/d60g=",0)</f>
        <v>0</v>
      </c>
      <c r="BV1" t="e">
        <f>AND(INPUT!C16,"AAAAAH/d60k=")</f>
        <v>#VALUE!</v>
      </c>
      <c r="BW1" t="e">
        <f>AND(INPUT!D16,"AAAAAH/d60o=")</f>
        <v>#VALUE!</v>
      </c>
      <c r="BX1" t="e">
        <f>AND(INPUT!E16,"AAAAAH/d60s=")</f>
        <v>#VALUE!</v>
      </c>
      <c r="BY1" t="e">
        <f>AND(INPUT!#REF!,"AAAAAH/d60w=")</f>
        <v>#REF!</v>
      </c>
      <c r="BZ1" t="e">
        <f>AND(INPUT!H15,"AAAAAH/d600=")</f>
        <v>#VALUE!</v>
      </c>
      <c r="CA1" t="e">
        <f>AND(INPUT!#REF!,"AAAAAH/d604=")</f>
        <v>#REF!</v>
      </c>
      <c r="CB1" t="e">
        <f>AND(INPUT!I15,"AAAAAH/d608=")</f>
        <v>#VALUE!</v>
      </c>
      <c r="CC1" t="e">
        <f>AND(INPUT!#REF!,"AAAAAH/d61A=")</f>
        <v>#REF!</v>
      </c>
      <c r="CD1">
        <f>IF(INPUT!16:16,"AAAAAH/d61E=",0)</f>
        <v>0</v>
      </c>
      <c r="CE1" t="e">
        <f>AND(INPUT!C17,"AAAAAH/d61I=")</f>
        <v>#VALUE!</v>
      </c>
      <c r="CF1" t="e">
        <f>AND(INPUT!D17,"AAAAAH/d61M=")</f>
        <v>#VALUE!</v>
      </c>
      <c r="CG1" t="e">
        <f>AND(INPUT!E17,"AAAAAH/d61Q=")</f>
        <v>#VALUE!</v>
      </c>
      <c r="CH1" t="e">
        <f>AND(INPUT!#REF!,"AAAAAH/d61U=")</f>
        <v>#REF!</v>
      </c>
      <c r="CI1" t="e">
        <f>AND(INPUT!H16,"AAAAAH/d61Y=")</f>
        <v>#VALUE!</v>
      </c>
      <c r="CJ1" t="e">
        <f>AND(INPUT!#REF!,"AAAAAH/d61c=")</f>
        <v>#REF!</v>
      </c>
      <c r="CK1" t="e">
        <f>AND(INPUT!I16,"AAAAAH/d61g=")</f>
        <v>#VALUE!</v>
      </c>
      <c r="CL1" t="e">
        <f>AND(INPUT!#REF!,"AAAAAH/d61k=")</f>
        <v>#REF!</v>
      </c>
      <c r="CM1">
        <f>IF(INPUT!17:17,"AAAAAH/d61o=",0)</f>
        <v>0</v>
      </c>
      <c r="CN1" t="e">
        <f>AND(INPUT!C18,"AAAAAH/d61s=")</f>
        <v>#VALUE!</v>
      </c>
      <c r="CO1" t="e">
        <f>AND(INPUT!D18,"AAAAAH/d61w=")</f>
        <v>#VALUE!</v>
      </c>
      <c r="CP1" t="e">
        <f>AND(INPUT!E18,"AAAAAH/d610=")</f>
        <v>#VALUE!</v>
      </c>
      <c r="CQ1" t="e">
        <f>AND(INPUT!#REF!,"AAAAAH/d614=")</f>
        <v>#REF!</v>
      </c>
      <c r="CR1" t="e">
        <f>AND(INPUT!H17,"AAAAAH/d618=")</f>
        <v>#VALUE!</v>
      </c>
      <c r="CS1" t="e">
        <f>AND(INPUT!#REF!,"AAAAAH/d62A=")</f>
        <v>#REF!</v>
      </c>
      <c r="CT1" t="e">
        <f>AND(INPUT!I17,"AAAAAH/d62E=")</f>
        <v>#VALUE!</v>
      </c>
      <c r="CU1" t="e">
        <f>AND(INPUT!#REF!,"AAAAAH/d62I=")</f>
        <v>#REF!</v>
      </c>
      <c r="CV1">
        <f>IF(INPUT!18:18,"AAAAAH/d62M=",0)</f>
        <v>0</v>
      </c>
      <c r="CW1" t="e">
        <f>AND(INPUT!C19,"AAAAAH/d62Q=")</f>
        <v>#VALUE!</v>
      </c>
      <c r="CX1" t="e">
        <f>AND(INPUT!D19,"AAAAAH/d62U=")</f>
        <v>#VALUE!</v>
      </c>
      <c r="CY1" t="e">
        <f>AND(INPUT!E19,"AAAAAH/d62Y=")</f>
        <v>#VALUE!</v>
      </c>
      <c r="CZ1" t="e">
        <f>AND(INPUT!#REF!,"AAAAAH/d62c=")</f>
        <v>#REF!</v>
      </c>
      <c r="DA1" t="e">
        <f>AND(INPUT!H18,"AAAAAH/d62g=")</f>
        <v>#VALUE!</v>
      </c>
      <c r="DB1" t="e">
        <f>AND(INPUT!#REF!,"AAAAAH/d62k=")</f>
        <v>#REF!</v>
      </c>
      <c r="DC1" t="e">
        <f>AND(INPUT!I18,"AAAAAH/d62o=")</f>
        <v>#VALUE!</v>
      </c>
      <c r="DD1" t="e">
        <f>AND(INPUT!#REF!,"AAAAAH/d62s=")</f>
        <v>#REF!</v>
      </c>
      <c r="DE1">
        <f>IF(INPUT!19:19,"AAAAAH/d62w=",0)</f>
        <v>0</v>
      </c>
      <c r="DF1" t="e">
        <f>AND(INPUT!C20,"AAAAAH/d620=")</f>
        <v>#VALUE!</v>
      </c>
      <c r="DG1" t="e">
        <f>AND(INPUT!D20,"AAAAAH/d624=")</f>
        <v>#VALUE!</v>
      </c>
      <c r="DH1" t="e">
        <f>AND(INPUT!E20,"AAAAAH/d628=")</f>
        <v>#VALUE!</v>
      </c>
      <c r="DI1" t="e">
        <f>AND(INPUT!#REF!,"AAAAAH/d63A=")</f>
        <v>#REF!</v>
      </c>
      <c r="DJ1" t="e">
        <f>AND(INPUT!H19,"AAAAAH/d63E=")</f>
        <v>#VALUE!</v>
      </c>
      <c r="DK1" t="e">
        <f>AND(INPUT!#REF!,"AAAAAH/d63I=")</f>
        <v>#REF!</v>
      </c>
      <c r="DL1" t="e">
        <f>AND(INPUT!I19,"AAAAAH/d63M=")</f>
        <v>#VALUE!</v>
      </c>
      <c r="DM1" t="e">
        <f>AND(INPUT!#REF!,"AAAAAH/d63Q=")</f>
        <v>#REF!</v>
      </c>
      <c r="DN1">
        <f>IF(INPUT!20:20,"AAAAAH/d63U=",0)</f>
        <v>0</v>
      </c>
      <c r="DO1" t="e">
        <f>AND(INPUT!C21,"AAAAAH/d63Y=")</f>
        <v>#VALUE!</v>
      </c>
      <c r="DP1" t="e">
        <f>AND(INPUT!D21,"AAAAAH/d63c=")</f>
        <v>#VALUE!</v>
      </c>
      <c r="DQ1" t="e">
        <f>AND(INPUT!E21,"AAAAAH/d63g=")</f>
        <v>#VALUE!</v>
      </c>
      <c r="DR1" t="e">
        <f>AND(INPUT!#REF!,"AAAAAH/d63k=")</f>
        <v>#REF!</v>
      </c>
      <c r="DS1" t="e">
        <f>AND(INPUT!H20,"AAAAAH/d63o=")</f>
        <v>#VALUE!</v>
      </c>
      <c r="DT1" t="e">
        <f>AND(INPUT!#REF!,"AAAAAH/d63s=")</f>
        <v>#REF!</v>
      </c>
      <c r="DU1" t="e">
        <f>AND(INPUT!I20,"AAAAAH/d63w=")</f>
        <v>#VALUE!</v>
      </c>
      <c r="DV1" t="e">
        <f>AND(INPUT!#REF!,"AAAAAH/d630=")</f>
        <v>#REF!</v>
      </c>
      <c r="DW1">
        <f>IF(INPUT!21:21,"AAAAAH/d634=",0)</f>
        <v>0</v>
      </c>
      <c r="DX1" t="e">
        <f>AND(INPUT!C22,"AAAAAH/d638=")</f>
        <v>#VALUE!</v>
      </c>
      <c r="DY1" t="e">
        <f>AND(INPUT!D22,"AAAAAH/d64A=")</f>
        <v>#VALUE!</v>
      </c>
      <c r="DZ1" t="e">
        <f>AND(INPUT!E22,"AAAAAH/d64E=")</f>
        <v>#VALUE!</v>
      </c>
      <c r="EA1" t="e">
        <f>AND(INPUT!#REF!,"AAAAAH/d64I=")</f>
        <v>#REF!</v>
      </c>
      <c r="EB1" t="e">
        <f>AND(INPUT!H21,"AAAAAH/d64M=")</f>
        <v>#VALUE!</v>
      </c>
      <c r="EC1" t="e">
        <f>AND(INPUT!#REF!,"AAAAAH/d64Q=")</f>
        <v>#REF!</v>
      </c>
      <c r="ED1" t="e">
        <f>AND(INPUT!I21,"AAAAAH/d64U=")</f>
        <v>#VALUE!</v>
      </c>
      <c r="EE1" t="e">
        <f>AND(INPUT!#REF!,"AAAAAH/d64Y=")</f>
        <v>#REF!</v>
      </c>
      <c r="EF1">
        <f>IF(INPUT!22:22,"AAAAAH/d64c=",0)</f>
        <v>0</v>
      </c>
      <c r="EG1" t="e">
        <f>AND(INPUT!C23,"AAAAAH/d64g=")</f>
        <v>#VALUE!</v>
      </c>
      <c r="EH1" t="e">
        <f>AND(INPUT!D23,"AAAAAH/d64k=")</f>
        <v>#VALUE!</v>
      </c>
      <c r="EI1" t="e">
        <f>AND(INPUT!E23,"AAAAAH/d64o=")</f>
        <v>#VALUE!</v>
      </c>
      <c r="EJ1" t="e">
        <f>AND(INPUT!#REF!,"AAAAAH/d64s=")</f>
        <v>#REF!</v>
      </c>
      <c r="EK1" t="e">
        <f>AND(INPUT!H22,"AAAAAH/d64w=")</f>
        <v>#VALUE!</v>
      </c>
      <c r="EL1" t="e">
        <f>AND(INPUT!#REF!,"AAAAAH/d640=")</f>
        <v>#REF!</v>
      </c>
      <c r="EM1" t="e">
        <f>AND(INPUT!I22,"AAAAAH/d644=")</f>
        <v>#VALUE!</v>
      </c>
      <c r="EN1" t="e">
        <f>AND(INPUT!#REF!,"AAAAAH/d648=")</f>
        <v>#REF!</v>
      </c>
      <c r="EO1">
        <f>IF(INPUT!23:23,"AAAAAH/d65A=",0)</f>
        <v>0</v>
      </c>
      <c r="EP1" t="e">
        <f>AND(INPUT!C24,"AAAAAH/d65E=")</f>
        <v>#VALUE!</v>
      </c>
      <c r="EQ1" t="e">
        <f>AND(INPUT!D24,"AAAAAH/d65I=")</f>
        <v>#VALUE!</v>
      </c>
      <c r="ER1" t="e">
        <f>AND(INPUT!E24,"AAAAAH/d65M=")</f>
        <v>#VALUE!</v>
      </c>
      <c r="ES1" t="e">
        <f>AND(INPUT!#REF!,"AAAAAH/d65Q=")</f>
        <v>#REF!</v>
      </c>
      <c r="ET1" t="e">
        <f>AND(INPUT!H23,"AAAAAH/d65U=")</f>
        <v>#VALUE!</v>
      </c>
      <c r="EU1" t="e">
        <f>AND(INPUT!#REF!,"AAAAAH/d65Y=")</f>
        <v>#REF!</v>
      </c>
      <c r="EV1" t="e">
        <f>AND(INPUT!I23,"AAAAAH/d65c=")</f>
        <v>#VALUE!</v>
      </c>
      <c r="EW1" t="e">
        <f>AND(INPUT!#REF!,"AAAAAH/d65g=")</f>
        <v>#REF!</v>
      </c>
      <c r="EX1">
        <f>IF(INPUT!24:24,"AAAAAH/d65k=",0)</f>
        <v>0</v>
      </c>
      <c r="EY1" t="e">
        <f>AND(INPUT!C25,"AAAAAH/d65o=")</f>
        <v>#VALUE!</v>
      </c>
      <c r="EZ1" t="e">
        <f>AND(INPUT!D25,"AAAAAH/d65s=")</f>
        <v>#VALUE!</v>
      </c>
      <c r="FA1" t="e">
        <f>AND(INPUT!E25,"AAAAAH/d65w=")</f>
        <v>#VALUE!</v>
      </c>
      <c r="FB1" t="e">
        <f>AND(INPUT!#REF!,"AAAAAH/d650=")</f>
        <v>#REF!</v>
      </c>
      <c r="FC1" t="e">
        <f>AND(INPUT!H24,"AAAAAH/d654=")</f>
        <v>#VALUE!</v>
      </c>
      <c r="FD1" t="e">
        <f>AND(INPUT!#REF!,"AAAAAH/d658=")</f>
        <v>#REF!</v>
      </c>
      <c r="FE1" t="e">
        <f>AND(INPUT!I24,"AAAAAH/d66A=")</f>
        <v>#VALUE!</v>
      </c>
      <c r="FF1" t="e">
        <f>AND(INPUT!#REF!,"AAAAAH/d66E=")</f>
        <v>#REF!</v>
      </c>
      <c r="FG1">
        <f>IF(INPUT!25:25,"AAAAAH/d66I=",0)</f>
        <v>0</v>
      </c>
      <c r="FH1" t="e">
        <f>AND(INPUT!C28,"AAAAAH/d66M=")</f>
        <v>#VALUE!</v>
      </c>
      <c r="FI1" t="e">
        <f>AND(INPUT!D28,"AAAAAH/d66Q=")</f>
        <v>#VALUE!</v>
      </c>
      <c r="FJ1" t="e">
        <f>AND(INPUT!E28,"AAAAAH/d66U=")</f>
        <v>#VALUE!</v>
      </c>
      <c r="FK1" t="e">
        <f>AND(INPUT!#REF!,"AAAAAH/d66Y=")</f>
        <v>#REF!</v>
      </c>
      <c r="FL1" t="e">
        <f>AND(INPUT!H25,"AAAAAH/d66c=")</f>
        <v>#VALUE!</v>
      </c>
      <c r="FM1" t="e">
        <f>AND(INPUT!#REF!,"AAAAAH/d66g=")</f>
        <v>#REF!</v>
      </c>
      <c r="FN1" t="e">
        <f>AND(INPUT!I25,"AAAAAH/d66k=")</f>
        <v>#VALUE!</v>
      </c>
      <c r="FO1" t="e">
        <f>AND(INPUT!#REF!,"AAAAAH/d66o=")</f>
        <v>#REF!</v>
      </c>
      <c r="FP1">
        <f>IF(INPUT!27:27,"AAAAAH/d66s=",0)</f>
        <v>0</v>
      </c>
      <c r="FQ1" t="e">
        <f>AND(INPUT!C29,"AAAAAH/d66w=")</f>
        <v>#VALUE!</v>
      </c>
      <c r="FR1" t="e">
        <f>AND(INPUT!D29,"AAAAAH/d660=")</f>
        <v>#VALUE!</v>
      </c>
      <c r="FS1" t="e">
        <f>AND(INPUT!E29,"AAAAAH/d664=")</f>
        <v>#VALUE!</v>
      </c>
      <c r="FT1" t="e">
        <f>AND(INPUT!#REF!,"AAAAAH/d668=")</f>
        <v>#REF!</v>
      </c>
      <c r="FU1" t="e">
        <f>AND(INPUT!H29,"AAAAAH/d67A=")</f>
        <v>#VALUE!</v>
      </c>
      <c r="FV1" t="e">
        <f>AND(INPUT!#REF!,"AAAAAH/d67E=")</f>
        <v>#REF!</v>
      </c>
      <c r="FW1" t="e">
        <f>AND(INPUT!I27,"AAAAAH/d67I=")</f>
        <v>#VALUE!</v>
      </c>
      <c r="FX1" t="e">
        <f>AND(INPUT!#REF!,"AAAAAH/d67M=")</f>
        <v>#REF!</v>
      </c>
      <c r="FY1">
        <f>IF(INPUT!28:28,"AAAAAH/d67Q=",0)</f>
        <v>0</v>
      </c>
      <c r="FZ1" t="e">
        <f>AND(INPUT!C30,"AAAAAH/d67U=")</f>
        <v>#VALUE!</v>
      </c>
      <c r="GA1" t="e">
        <f>AND(INPUT!D30,"AAAAAH/d67Y=")</f>
        <v>#VALUE!</v>
      </c>
      <c r="GB1" t="e">
        <f>AND(INPUT!E30,"AAAAAH/d67c=")</f>
        <v>#VALUE!</v>
      </c>
      <c r="GC1" t="e">
        <f>AND(INPUT!#REF!,"AAAAAH/d67g=")</f>
        <v>#REF!</v>
      </c>
      <c r="GD1" t="e">
        <f>AND(INPUT!H30,"AAAAAH/d67k=")</f>
        <v>#VALUE!</v>
      </c>
      <c r="GE1" t="e">
        <f>AND(INPUT!#REF!,"AAAAAH/d67o=")</f>
        <v>#REF!</v>
      </c>
      <c r="GF1" t="e">
        <f>AND(INPUT!I28,"AAAAAH/d67s=")</f>
        <v>#VALUE!</v>
      </c>
      <c r="GG1" t="e">
        <f>AND(INPUT!#REF!,"AAAAAH/d67w=")</f>
        <v>#REF!</v>
      </c>
      <c r="GH1">
        <f>IF(INPUT!29:29,"AAAAAH/d670=",0)</f>
        <v>0</v>
      </c>
      <c r="GI1" t="e">
        <f>AND(INPUT!C31,"AAAAAH/d674=")</f>
        <v>#VALUE!</v>
      </c>
      <c r="GJ1" t="e">
        <f>AND(INPUT!D31,"AAAAAH/d678=")</f>
        <v>#VALUE!</v>
      </c>
      <c r="GK1" t="e">
        <f>AND(INPUT!E31,"AAAAAH/d68A=")</f>
        <v>#VALUE!</v>
      </c>
      <c r="GL1" t="e">
        <f>AND(INPUT!#REF!,"AAAAAH/d68E=")</f>
        <v>#REF!</v>
      </c>
      <c r="GM1" t="e">
        <f>AND(INPUT!H31,"AAAAAH/d68I=")</f>
        <v>#VALUE!</v>
      </c>
      <c r="GN1" t="e">
        <f>AND(INPUT!#REF!,"AAAAAH/d68M=")</f>
        <v>#REF!</v>
      </c>
      <c r="GO1" t="e">
        <f>AND(INPUT!I29,"AAAAAH/d68Q=")</f>
        <v>#VALUE!</v>
      </c>
      <c r="GP1" t="e">
        <f>AND(INPUT!#REF!,"AAAAAH/d68U=")</f>
        <v>#REF!</v>
      </c>
      <c r="GQ1">
        <f>IF(INPUT!30:30,"AAAAAH/d68Y=",0)</f>
        <v>0</v>
      </c>
      <c r="GR1" t="e">
        <f>AND(INPUT!C32,"AAAAAH/d68c=")</f>
        <v>#VALUE!</v>
      </c>
      <c r="GS1" t="e">
        <f>AND(INPUT!D32,"AAAAAH/d68g=")</f>
        <v>#VALUE!</v>
      </c>
      <c r="GT1" t="e">
        <f>AND(INPUT!E32,"AAAAAH/d68k=")</f>
        <v>#VALUE!</v>
      </c>
      <c r="GU1" t="e">
        <f>AND(INPUT!#REF!,"AAAAAH/d68o=")</f>
        <v>#REF!</v>
      </c>
      <c r="GV1" t="e">
        <f>AND(INPUT!H32,"AAAAAH/d68s=")</f>
        <v>#VALUE!</v>
      </c>
      <c r="GW1" t="e">
        <f>AND(INPUT!#REF!,"AAAAAH/d68w=")</f>
        <v>#REF!</v>
      </c>
      <c r="GX1" t="e">
        <f>AND(INPUT!I30,"AAAAAH/d680=")</f>
        <v>#VALUE!</v>
      </c>
      <c r="GY1" t="e">
        <f>AND(INPUT!#REF!,"AAAAAH/d684=")</f>
        <v>#REF!</v>
      </c>
      <c r="GZ1">
        <f>IF(INPUT!31:31,"AAAAAH/d688=",0)</f>
        <v>0</v>
      </c>
      <c r="HA1" t="e">
        <f>AND(INPUT!C33,"AAAAAH/d69A=")</f>
        <v>#VALUE!</v>
      </c>
      <c r="HB1" t="e">
        <f>AND(INPUT!D33,"AAAAAH/d69E=")</f>
        <v>#VALUE!</v>
      </c>
      <c r="HC1" t="e">
        <f>AND(INPUT!E33,"AAAAAH/d69I=")</f>
        <v>#VALUE!</v>
      </c>
      <c r="HD1" t="e">
        <f>AND(INPUT!#REF!,"AAAAAH/d69M=")</f>
        <v>#REF!</v>
      </c>
      <c r="HE1" t="e">
        <f>AND(INPUT!H33,"AAAAAH/d69Q=")</f>
        <v>#VALUE!</v>
      </c>
      <c r="HF1" t="e">
        <f>AND(INPUT!#REF!,"AAAAAH/d69U=")</f>
        <v>#REF!</v>
      </c>
      <c r="HG1" t="e">
        <f>AND(INPUT!I31,"AAAAAH/d69Y=")</f>
        <v>#VALUE!</v>
      </c>
      <c r="HH1" t="e">
        <f>AND(INPUT!#REF!,"AAAAAH/d69c=")</f>
        <v>#REF!</v>
      </c>
      <c r="HI1">
        <f>IF(INPUT!32:32,"AAAAAH/d69g=",0)</f>
        <v>0</v>
      </c>
      <c r="HJ1" t="e">
        <f>AND(INPUT!C36,"AAAAAH/d69k=")</f>
        <v>#VALUE!</v>
      </c>
      <c r="HK1" t="e">
        <f>AND(INPUT!D36,"AAAAAH/d69o=")</f>
        <v>#VALUE!</v>
      </c>
      <c r="HL1" t="e">
        <f>AND(INPUT!E36,"AAAAAH/d69s=")</f>
        <v>#VALUE!</v>
      </c>
      <c r="HM1" t="e">
        <f>AND(INPUT!#REF!,"AAAAAH/d69w=")</f>
        <v>#REF!</v>
      </c>
      <c r="HN1" t="e">
        <f>AND(INPUT!H36,"AAAAAH/d690=")</f>
        <v>#VALUE!</v>
      </c>
      <c r="HO1" t="e">
        <f>AND(INPUT!#REF!,"AAAAAH/d694=")</f>
        <v>#REF!</v>
      </c>
      <c r="HP1" t="e">
        <f>AND(INPUT!I32,"AAAAAH/d698=")</f>
        <v>#VALUE!</v>
      </c>
      <c r="HQ1" t="e">
        <f>AND(INPUT!#REF!,"AAAAAH/d6+A=")</f>
        <v>#REF!</v>
      </c>
      <c r="HR1">
        <f>IF(INPUT!33:33,"AAAAAH/d6+E=",0)</f>
        <v>0</v>
      </c>
      <c r="HS1" t="e">
        <f>AND(INPUT!C37,"AAAAAH/d6+I=")</f>
        <v>#VALUE!</v>
      </c>
      <c r="HT1" t="e">
        <f>AND(INPUT!D37,"AAAAAH/d6+M=")</f>
        <v>#VALUE!</v>
      </c>
      <c r="HU1" t="e">
        <f>AND(INPUT!E37,"AAAAAH/d6+Q=")</f>
        <v>#VALUE!</v>
      </c>
      <c r="HV1" t="e">
        <f>AND(INPUT!#REF!,"AAAAAH/d6+U=")</f>
        <v>#REF!</v>
      </c>
      <c r="HW1" t="e">
        <f>AND(INPUT!H37,"AAAAAH/d6+Y=")</f>
        <v>#VALUE!</v>
      </c>
      <c r="HX1" t="e">
        <f>AND(INPUT!#REF!,"AAAAAH/d6+c=")</f>
        <v>#REF!</v>
      </c>
      <c r="HY1" t="e">
        <f>AND(INPUT!I33,"AAAAAH/d6+g=")</f>
        <v>#VALUE!</v>
      </c>
      <c r="HZ1" t="e">
        <f>AND(INPUT!#REF!,"AAAAAH/d6+k=")</f>
        <v>#REF!</v>
      </c>
      <c r="IA1">
        <f>IF(INPUT!34:34,"AAAAAH/d6+o=",0)</f>
        <v>0</v>
      </c>
      <c r="IB1" t="e">
        <f>AND(INPUT!C38,"AAAAAH/d6+s=")</f>
        <v>#VALUE!</v>
      </c>
      <c r="IC1" t="e">
        <f>AND(INPUT!D38,"AAAAAH/d6+w=")</f>
        <v>#VALUE!</v>
      </c>
      <c r="ID1" t="e">
        <f>AND(INPUT!E38,"AAAAAH/d6+0=")</f>
        <v>#VALUE!</v>
      </c>
      <c r="IE1" t="e">
        <f>AND(INPUT!#REF!,"AAAAAH/d6+4=")</f>
        <v>#REF!</v>
      </c>
      <c r="IF1" t="e">
        <f>AND(INPUT!H38,"AAAAAH/d6+8=")</f>
        <v>#VALUE!</v>
      </c>
      <c r="IG1" t="e">
        <f>AND(INPUT!#REF!,"AAAAAH/d6/A=")</f>
        <v>#REF!</v>
      </c>
      <c r="IH1" t="e">
        <f>AND(INPUT!I34,"AAAAAH/d6/E=")</f>
        <v>#VALUE!</v>
      </c>
      <c r="II1" t="e">
        <f>AND(INPUT!#REF!,"AAAAAH/d6/I=")</f>
        <v>#REF!</v>
      </c>
      <c r="IJ1">
        <f>IF(INPUT!35:35,"AAAAAH/d6/M=",0)</f>
        <v>0</v>
      </c>
      <c r="IK1" t="e">
        <f>AND(INPUT!C39,"AAAAAH/d6/Q=")</f>
        <v>#VALUE!</v>
      </c>
      <c r="IL1" t="e">
        <f>AND(INPUT!D39,"AAAAAH/d6/U=")</f>
        <v>#VALUE!</v>
      </c>
      <c r="IM1" t="e">
        <f>AND(INPUT!E39,"AAAAAH/d6/Y=")</f>
        <v>#VALUE!</v>
      </c>
      <c r="IN1" t="e">
        <f>AND(INPUT!#REF!,"AAAAAH/d6/c=")</f>
        <v>#REF!</v>
      </c>
      <c r="IO1" t="e">
        <f>AND(INPUT!H39,"AAAAAH/d6/g=")</f>
        <v>#VALUE!</v>
      </c>
      <c r="IP1" t="e">
        <f>AND(INPUT!#REF!,"AAAAAH/d6/k=")</f>
        <v>#REF!</v>
      </c>
      <c r="IQ1" t="e">
        <f>AND(INPUT!I35,"AAAAAH/d6/o=")</f>
        <v>#VALUE!</v>
      </c>
      <c r="IR1" t="e">
        <f>AND(INPUT!#REF!,"AAAAAH/d6/s=")</f>
        <v>#REF!</v>
      </c>
      <c r="IS1">
        <f>IF(INPUT!36:36,"AAAAAH/d6/w=",0)</f>
        <v>0</v>
      </c>
      <c r="IT1" t="e">
        <f>AND(INPUT!C40,"AAAAAH/d6/0=")</f>
        <v>#VALUE!</v>
      </c>
      <c r="IU1" t="e">
        <f>AND(INPUT!D40,"AAAAAH/d6/4=")</f>
        <v>#VALUE!</v>
      </c>
      <c r="IV1" t="e">
        <f>AND(INPUT!E40,"AAAAAH/d6/8=")</f>
        <v>#VALUE!</v>
      </c>
    </row>
    <row r="2" spans="1:256" x14ac:dyDescent="0.2">
      <c r="A2" t="e">
        <f>AND(INPUT!#REF!,"AAAAAD2+6wA=")</f>
        <v>#REF!</v>
      </c>
      <c r="B2" t="e">
        <f>AND(INPUT!H40,"AAAAAD2+6wE=")</f>
        <v>#VALUE!</v>
      </c>
      <c r="C2" t="e">
        <f>AND(INPUT!#REF!,"AAAAAD2+6wI=")</f>
        <v>#REF!</v>
      </c>
      <c r="D2" t="e">
        <f>AND(INPUT!I36,"AAAAAD2+6wM=")</f>
        <v>#VALUE!</v>
      </c>
      <c r="E2" t="e">
        <f>AND(INPUT!#REF!,"AAAAAD2+6wQ=")</f>
        <v>#REF!</v>
      </c>
      <c r="F2">
        <f>IF(INPUT!37:37,"AAAAAD2+6wU=",0)</f>
        <v>0</v>
      </c>
      <c r="G2" t="e">
        <f>AND(INPUT!C41,"AAAAAD2+6wY=")</f>
        <v>#VALUE!</v>
      </c>
      <c r="H2" t="e">
        <f>AND(INPUT!D41,"AAAAAD2+6wc=")</f>
        <v>#VALUE!</v>
      </c>
      <c r="I2" t="e">
        <f>AND(INPUT!E41,"AAAAAD2+6wg=")</f>
        <v>#VALUE!</v>
      </c>
      <c r="J2" t="e">
        <f>AND(INPUT!#REF!,"AAAAAD2+6wk=")</f>
        <v>#REF!</v>
      </c>
      <c r="K2" t="e">
        <f>AND(INPUT!H41,"AAAAAD2+6wo=")</f>
        <v>#VALUE!</v>
      </c>
      <c r="L2" t="e">
        <f>AND(INPUT!#REF!,"AAAAAD2+6ws=")</f>
        <v>#REF!</v>
      </c>
      <c r="M2" t="e">
        <f>AND(INPUT!I37,"AAAAAD2+6ww=")</f>
        <v>#VALUE!</v>
      </c>
      <c r="N2" t="e">
        <f>AND(INPUT!#REF!,"AAAAAD2+6w0=")</f>
        <v>#REF!</v>
      </c>
      <c r="O2">
        <f>IF(INPUT!38:38,"AAAAAD2+6w4=",0)</f>
        <v>0</v>
      </c>
      <c r="P2" t="e">
        <f>AND(INPUT!C42,"AAAAAD2+6w8=")</f>
        <v>#VALUE!</v>
      </c>
      <c r="Q2" t="e">
        <f>AND(INPUT!D42,"AAAAAD2+6xA=")</f>
        <v>#VALUE!</v>
      </c>
      <c r="R2" t="e">
        <f>AND(INPUT!E42,"AAAAAD2+6xE=")</f>
        <v>#VALUE!</v>
      </c>
      <c r="S2" t="e">
        <f>AND(INPUT!#REF!,"AAAAAD2+6xI=")</f>
        <v>#REF!</v>
      </c>
      <c r="T2" t="e">
        <f>AND(INPUT!H42,"AAAAAD2+6xM=")</f>
        <v>#VALUE!</v>
      </c>
      <c r="U2" t="e">
        <f>AND(INPUT!#REF!,"AAAAAD2+6xQ=")</f>
        <v>#REF!</v>
      </c>
      <c r="V2" t="e">
        <f>AND(INPUT!I38,"AAAAAD2+6xU=")</f>
        <v>#VALUE!</v>
      </c>
      <c r="W2" t="e">
        <f>AND(INPUT!#REF!,"AAAAAD2+6xY=")</f>
        <v>#REF!</v>
      </c>
      <c r="X2">
        <f>IF(INPUT!39:39,"AAAAAD2+6xc=",0)</f>
        <v>0</v>
      </c>
      <c r="Y2" t="e">
        <f>AND(INPUT!C43,"AAAAAD2+6xg=")</f>
        <v>#VALUE!</v>
      </c>
      <c r="Z2" t="e">
        <f>AND(INPUT!D43,"AAAAAD2+6xk=")</f>
        <v>#VALUE!</v>
      </c>
      <c r="AA2" t="e">
        <f>AND(INPUT!E43,"AAAAAD2+6xo=")</f>
        <v>#VALUE!</v>
      </c>
      <c r="AB2" t="e">
        <f>AND(INPUT!#REF!,"AAAAAD2+6xs=")</f>
        <v>#REF!</v>
      </c>
      <c r="AC2" t="e">
        <f>AND(INPUT!H43,"AAAAAD2+6xw=")</f>
        <v>#VALUE!</v>
      </c>
      <c r="AD2" t="e">
        <f>AND(INPUT!#REF!,"AAAAAD2+6x0=")</f>
        <v>#REF!</v>
      </c>
      <c r="AE2" t="e">
        <f>AND(INPUT!I39,"AAAAAD2+6x4=")</f>
        <v>#VALUE!</v>
      </c>
      <c r="AF2" t="e">
        <f>AND(INPUT!#REF!,"AAAAAD2+6x8=")</f>
        <v>#REF!</v>
      </c>
      <c r="AG2">
        <f>IF(INPUT!40:40,"AAAAAD2+6yA=",0)</f>
        <v>0</v>
      </c>
      <c r="AH2" t="e">
        <f>AND(INPUT!C44,"AAAAAD2+6yE=")</f>
        <v>#VALUE!</v>
      </c>
      <c r="AI2" t="e">
        <f>AND(INPUT!D44,"AAAAAD2+6yI=")</f>
        <v>#VALUE!</v>
      </c>
      <c r="AJ2" t="e">
        <f>AND(INPUT!E44,"AAAAAD2+6yM=")</f>
        <v>#VALUE!</v>
      </c>
      <c r="AK2" t="e">
        <f>AND(INPUT!#REF!,"AAAAAD2+6yQ=")</f>
        <v>#REF!</v>
      </c>
      <c r="AL2" t="e">
        <f>AND(INPUT!H44,"AAAAAD2+6yU=")</f>
        <v>#VALUE!</v>
      </c>
      <c r="AM2" t="e">
        <f>AND(INPUT!#REF!,"AAAAAD2+6yY=")</f>
        <v>#REF!</v>
      </c>
      <c r="AN2" t="e">
        <f>AND(INPUT!I40,"AAAAAD2+6yc=")</f>
        <v>#VALUE!</v>
      </c>
      <c r="AO2" t="e">
        <f>AND(INPUT!#REF!,"AAAAAD2+6yg=")</f>
        <v>#REF!</v>
      </c>
      <c r="AP2">
        <f>IF(INPUT!41:41,"AAAAAD2+6yk=",0)</f>
        <v>0</v>
      </c>
      <c r="AQ2" t="e">
        <f>AND(INPUT!C45,"AAAAAD2+6yo=")</f>
        <v>#VALUE!</v>
      </c>
      <c r="AR2" t="e">
        <f>AND(INPUT!D45,"AAAAAD2+6ys=")</f>
        <v>#VALUE!</v>
      </c>
      <c r="AS2" t="e">
        <f>AND(INPUT!E45,"AAAAAD2+6yw=")</f>
        <v>#VALUE!</v>
      </c>
      <c r="AT2" t="e">
        <f>AND(INPUT!#REF!,"AAAAAD2+6y0=")</f>
        <v>#REF!</v>
      </c>
      <c r="AU2" t="e">
        <f>AND(INPUT!H45,"AAAAAD2+6y4=")</f>
        <v>#VALUE!</v>
      </c>
      <c r="AV2" t="e">
        <f>AND(INPUT!#REF!,"AAAAAD2+6y8=")</f>
        <v>#REF!</v>
      </c>
      <c r="AW2" t="e">
        <f>AND(INPUT!I41,"AAAAAD2+6zA=")</f>
        <v>#VALUE!</v>
      </c>
      <c r="AX2" t="e">
        <f>AND(INPUT!#REF!,"AAAAAD2+6zE=")</f>
        <v>#REF!</v>
      </c>
      <c r="AY2">
        <f>IF(INPUT!42:42,"AAAAAD2+6zI=",0)</f>
        <v>0</v>
      </c>
      <c r="AZ2" t="e">
        <f>AND(INPUT!C46,"AAAAAD2+6zM=")</f>
        <v>#VALUE!</v>
      </c>
      <c r="BA2" t="e">
        <f>AND(INPUT!D46,"AAAAAD2+6zQ=")</f>
        <v>#VALUE!</v>
      </c>
      <c r="BB2" t="e">
        <f>AND(INPUT!E46,"AAAAAD2+6zU=")</f>
        <v>#VALUE!</v>
      </c>
      <c r="BC2" t="e">
        <f>AND(INPUT!#REF!,"AAAAAD2+6zY=")</f>
        <v>#REF!</v>
      </c>
      <c r="BD2" t="e">
        <f>AND(INPUT!H46,"AAAAAD2+6zc=")</f>
        <v>#VALUE!</v>
      </c>
      <c r="BE2" t="e">
        <f>AND(INPUT!#REF!,"AAAAAD2+6zg=")</f>
        <v>#REF!</v>
      </c>
      <c r="BF2" t="e">
        <f>AND(INPUT!I42,"AAAAAD2+6zk=")</f>
        <v>#VALUE!</v>
      </c>
      <c r="BG2" t="e">
        <f>AND(INPUT!#REF!,"AAAAAD2+6zo=")</f>
        <v>#REF!</v>
      </c>
      <c r="BH2">
        <f>IF(INPUT!43:43,"AAAAAD2+6zs=",0)</f>
        <v>0</v>
      </c>
      <c r="BI2" t="e">
        <f>AND(INPUT!C47,"AAAAAD2+6zw=")</f>
        <v>#VALUE!</v>
      </c>
      <c r="BJ2" t="e">
        <f>AND(INPUT!D47,"AAAAAD2+6z0=")</f>
        <v>#VALUE!</v>
      </c>
      <c r="BK2" t="e">
        <f>AND(INPUT!E47,"AAAAAD2+6z4=")</f>
        <v>#VALUE!</v>
      </c>
      <c r="BL2" t="e">
        <f>AND(INPUT!#REF!,"AAAAAD2+6z8=")</f>
        <v>#REF!</v>
      </c>
      <c r="BM2" t="e">
        <f>AND(INPUT!H47,"AAAAAD2+60A=")</f>
        <v>#VALUE!</v>
      </c>
      <c r="BN2" t="e">
        <f>AND(INPUT!#REF!,"AAAAAD2+60E=")</f>
        <v>#REF!</v>
      </c>
      <c r="BO2" t="e">
        <f>AND(INPUT!I43,"AAAAAD2+60I=")</f>
        <v>#VALUE!</v>
      </c>
      <c r="BP2" t="e">
        <f>AND(INPUT!#REF!,"AAAAAD2+60M=")</f>
        <v>#REF!</v>
      </c>
      <c r="BQ2">
        <f>IF(INPUT!44:44,"AAAAAD2+60Q=",0)</f>
        <v>0</v>
      </c>
      <c r="BR2" t="e">
        <f>AND(INPUT!C48,"AAAAAD2+60U=")</f>
        <v>#VALUE!</v>
      </c>
      <c r="BS2" t="e">
        <f>AND(INPUT!D48,"AAAAAD2+60Y=")</f>
        <v>#VALUE!</v>
      </c>
      <c r="BT2" t="e">
        <f>AND(INPUT!E48,"AAAAAD2+60c=")</f>
        <v>#VALUE!</v>
      </c>
      <c r="BU2" t="e">
        <f>AND(INPUT!#REF!,"AAAAAD2+60g=")</f>
        <v>#REF!</v>
      </c>
      <c r="BV2" t="e">
        <f>AND(INPUT!H48,"AAAAAD2+60k=")</f>
        <v>#VALUE!</v>
      </c>
      <c r="BW2" t="e">
        <f>AND(INPUT!#REF!,"AAAAAD2+60o=")</f>
        <v>#REF!</v>
      </c>
      <c r="BX2" t="e">
        <f>AND(INPUT!I44,"AAAAAD2+60s=")</f>
        <v>#VALUE!</v>
      </c>
      <c r="BY2" t="e">
        <f>AND(INPUT!#REF!,"AAAAAD2+60w=")</f>
        <v>#REF!</v>
      </c>
      <c r="BZ2">
        <f>IF(INPUT!45:45,"AAAAAD2+600=",0)</f>
        <v>0</v>
      </c>
      <c r="CA2" t="e">
        <f>AND(INPUT!C49,"AAAAAD2+604=")</f>
        <v>#VALUE!</v>
      </c>
      <c r="CB2" t="e">
        <f>AND(INPUT!D49,"AAAAAD2+608=")</f>
        <v>#VALUE!</v>
      </c>
      <c r="CC2" t="e">
        <f>AND(INPUT!E49,"AAAAAD2+61A=")</f>
        <v>#VALUE!</v>
      </c>
      <c r="CD2" t="e">
        <f>AND(INPUT!#REF!,"AAAAAD2+61E=")</f>
        <v>#REF!</v>
      </c>
      <c r="CE2" t="e">
        <f>AND(INPUT!H49,"AAAAAD2+61I=")</f>
        <v>#VALUE!</v>
      </c>
      <c r="CF2" t="e">
        <f>AND(INPUT!#REF!,"AAAAAD2+61M=")</f>
        <v>#REF!</v>
      </c>
      <c r="CG2" t="e">
        <f>AND(INPUT!I45,"AAAAAD2+61Q=")</f>
        <v>#VALUE!</v>
      </c>
      <c r="CH2" t="e">
        <f>AND(INPUT!#REF!,"AAAAAD2+61U=")</f>
        <v>#REF!</v>
      </c>
      <c r="CI2">
        <f>IF(INPUT!46:46,"AAAAAD2+61Y=",0)</f>
        <v>0</v>
      </c>
      <c r="CJ2" t="e">
        <f>AND(INPUT!C50,"AAAAAD2+61c=")</f>
        <v>#VALUE!</v>
      </c>
      <c r="CK2" t="e">
        <f>AND(INPUT!D50,"AAAAAD2+61g=")</f>
        <v>#VALUE!</v>
      </c>
      <c r="CL2" t="e">
        <f>AND(INPUT!E50,"AAAAAD2+61k=")</f>
        <v>#VALUE!</v>
      </c>
      <c r="CM2" t="e">
        <f>AND(INPUT!#REF!,"AAAAAD2+61o=")</f>
        <v>#REF!</v>
      </c>
      <c r="CN2" t="e">
        <f>AND(INPUT!H50,"AAAAAD2+61s=")</f>
        <v>#VALUE!</v>
      </c>
      <c r="CO2" t="e">
        <f>AND(INPUT!#REF!,"AAAAAD2+61w=")</f>
        <v>#REF!</v>
      </c>
      <c r="CP2" t="e">
        <f>AND(INPUT!I46,"AAAAAD2+610=")</f>
        <v>#VALUE!</v>
      </c>
      <c r="CQ2" t="e">
        <f>AND(INPUT!#REF!,"AAAAAD2+614=")</f>
        <v>#REF!</v>
      </c>
      <c r="CR2">
        <f>IF(INPUT!47:47,"AAAAAD2+618=",0)</f>
        <v>0</v>
      </c>
      <c r="CS2" t="e">
        <f>AND(INPUT!#REF!,"AAAAAD2+62A=")</f>
        <v>#REF!</v>
      </c>
      <c r="CT2" t="e">
        <f>AND(INPUT!#REF!,"AAAAAD2+62E=")</f>
        <v>#REF!</v>
      </c>
      <c r="CU2" t="e">
        <f>AND(INPUT!#REF!,"AAAAAD2+62I=")</f>
        <v>#REF!</v>
      </c>
      <c r="CV2" t="e">
        <f>AND(INPUT!#REF!,"AAAAAD2+62M=")</f>
        <v>#REF!</v>
      </c>
      <c r="CW2" t="e">
        <f>AND(INPUT!#REF!,"AAAAAD2+62Q=")</f>
        <v>#REF!</v>
      </c>
      <c r="CX2" t="e">
        <f>AND(INPUT!#REF!,"AAAAAD2+62U=")</f>
        <v>#REF!</v>
      </c>
      <c r="CY2" t="e">
        <f>AND(INPUT!I47,"AAAAAD2+62Y=")</f>
        <v>#VALUE!</v>
      </c>
      <c r="CZ2" t="e">
        <f>AND(INPUT!#REF!,"AAAAAD2+62c=")</f>
        <v>#REF!</v>
      </c>
      <c r="DA2">
        <f>IF(INPUT!48:48,"AAAAAD2+62g=",0)</f>
        <v>0</v>
      </c>
      <c r="DB2" t="e">
        <f>AND(INPUT!C51,"AAAAAD2+62k=")</f>
        <v>#VALUE!</v>
      </c>
      <c r="DC2" t="e">
        <f>AND(INPUT!D51,"AAAAAD2+62o=")</f>
        <v>#VALUE!</v>
      </c>
      <c r="DD2" t="e">
        <f>AND(INPUT!E51,"AAAAAD2+62s=")</f>
        <v>#VALUE!</v>
      </c>
      <c r="DE2" t="e">
        <f>AND(INPUT!#REF!,"AAAAAD2+62w=")</f>
        <v>#REF!</v>
      </c>
      <c r="DF2" t="e">
        <f>AND(INPUT!H51,"AAAAAD2+620=")</f>
        <v>#VALUE!</v>
      </c>
      <c r="DG2" t="e">
        <f>AND(INPUT!#REF!,"AAAAAD2+624=")</f>
        <v>#REF!</v>
      </c>
      <c r="DH2" t="e">
        <f>AND(INPUT!I48,"AAAAAD2+628=")</f>
        <v>#VALUE!</v>
      </c>
      <c r="DI2" t="e">
        <f>AND(INPUT!#REF!,"AAAAAD2+63A=")</f>
        <v>#REF!</v>
      </c>
      <c r="DJ2">
        <f>IF(INPUT!49:49,"AAAAAD2+63E=",0)</f>
        <v>0</v>
      </c>
      <c r="DK2" t="e">
        <f>AND(INPUT!C52,"AAAAAD2+63I=")</f>
        <v>#VALUE!</v>
      </c>
      <c r="DL2" t="e">
        <f>AND(INPUT!D52,"AAAAAD2+63M=")</f>
        <v>#VALUE!</v>
      </c>
      <c r="DM2" t="e">
        <f>AND(INPUT!E52,"AAAAAD2+63Q=")</f>
        <v>#VALUE!</v>
      </c>
      <c r="DN2" t="e">
        <f>AND(INPUT!#REF!,"AAAAAD2+63U=")</f>
        <v>#REF!</v>
      </c>
      <c r="DO2" t="e">
        <f>AND(INPUT!H52,"AAAAAD2+63Y=")</f>
        <v>#VALUE!</v>
      </c>
      <c r="DP2" t="e">
        <f>AND(INPUT!#REF!,"AAAAAD2+63c=")</f>
        <v>#REF!</v>
      </c>
      <c r="DQ2" t="e">
        <f>AND(INPUT!I49,"AAAAAD2+63g=")</f>
        <v>#VALUE!</v>
      </c>
      <c r="DR2" t="e">
        <f>AND(INPUT!#REF!,"AAAAAD2+63k=")</f>
        <v>#REF!</v>
      </c>
      <c r="DS2">
        <f>IF(INPUT!50:50,"AAAAAD2+63o=",0)</f>
        <v>0</v>
      </c>
      <c r="DT2" t="e">
        <f>AND(INPUT!C53,"AAAAAD2+63s=")</f>
        <v>#VALUE!</v>
      </c>
      <c r="DU2" t="e">
        <f>AND(INPUT!D53,"AAAAAD2+63w=")</f>
        <v>#VALUE!</v>
      </c>
      <c r="DV2" t="e">
        <f>AND(INPUT!E53,"AAAAAD2+630=")</f>
        <v>#VALUE!</v>
      </c>
      <c r="DW2" t="e">
        <f>AND(INPUT!#REF!,"AAAAAD2+634=")</f>
        <v>#REF!</v>
      </c>
      <c r="DX2" t="e">
        <f>AND(INPUT!H53,"AAAAAD2+638=")</f>
        <v>#VALUE!</v>
      </c>
      <c r="DY2" t="e">
        <f>AND(INPUT!#REF!,"AAAAAD2+64A=")</f>
        <v>#REF!</v>
      </c>
      <c r="DZ2" t="e">
        <f>AND(INPUT!I50,"AAAAAD2+64E=")</f>
        <v>#VALUE!</v>
      </c>
      <c r="EA2" t="e">
        <f>AND(INPUT!#REF!,"AAAAAD2+64I=")</f>
        <v>#REF!</v>
      </c>
      <c r="EB2" t="e">
        <f>IF(INPUT!#REF!,"AAAAAD2+64M=",0)</f>
        <v>#REF!</v>
      </c>
      <c r="EC2" t="e">
        <f>AND(INPUT!C54,"AAAAAD2+64Q=")</f>
        <v>#VALUE!</v>
      </c>
      <c r="ED2" t="e">
        <f>AND(INPUT!D54,"AAAAAD2+64U=")</f>
        <v>#VALUE!</v>
      </c>
      <c r="EE2" t="e">
        <f>AND(INPUT!E54,"AAAAAD2+64Y=")</f>
        <v>#VALUE!</v>
      </c>
      <c r="EF2" t="e">
        <f>AND(INPUT!#REF!,"AAAAAD2+64c=")</f>
        <v>#REF!</v>
      </c>
      <c r="EG2" t="e">
        <f>AND(INPUT!H54,"AAAAAD2+64g=")</f>
        <v>#VALUE!</v>
      </c>
      <c r="EH2" t="e">
        <f>AND(INPUT!#REF!,"AAAAAD2+64k=")</f>
        <v>#REF!</v>
      </c>
      <c r="EI2" t="e">
        <f>AND(INPUT!#REF!,"AAAAAD2+64o=")</f>
        <v>#REF!</v>
      </c>
      <c r="EJ2" t="e">
        <f>AND(INPUT!#REF!,"AAAAAD2+64s=")</f>
        <v>#REF!</v>
      </c>
      <c r="EK2">
        <f>IF(INPUT!51:51,"AAAAAD2+64w=",0)</f>
        <v>0</v>
      </c>
      <c r="EL2" t="e">
        <f>AND(INPUT!#REF!,"AAAAAD2+640=")</f>
        <v>#REF!</v>
      </c>
      <c r="EM2" t="e">
        <f>AND(INPUT!#REF!,"AAAAAD2+644=")</f>
        <v>#REF!</v>
      </c>
      <c r="EN2" t="e">
        <f>AND(INPUT!#REF!,"AAAAAD2+648=")</f>
        <v>#REF!</v>
      </c>
      <c r="EO2" t="e">
        <f>AND(INPUT!#REF!,"AAAAAD2+65A=")</f>
        <v>#REF!</v>
      </c>
      <c r="EP2" t="e">
        <f>AND(INPUT!H55,"AAAAAD2+65E=")</f>
        <v>#VALUE!</v>
      </c>
      <c r="EQ2" t="e">
        <f>AND(INPUT!#REF!,"AAAAAD2+65I=")</f>
        <v>#REF!</v>
      </c>
      <c r="ER2" t="e">
        <f>AND(INPUT!I51,"AAAAAD2+65M=")</f>
        <v>#VALUE!</v>
      </c>
      <c r="ES2" t="e">
        <f>AND(INPUT!#REF!,"AAAAAD2+65Q=")</f>
        <v>#REF!</v>
      </c>
      <c r="ET2">
        <f>IF(INPUT!52:52,"AAAAAD2+65U=",0)</f>
        <v>0</v>
      </c>
      <c r="EU2" t="e">
        <f>AND(INPUT!#REF!,"AAAAAD2+65Y=")</f>
        <v>#REF!</v>
      </c>
      <c r="EV2" t="e">
        <f>AND(INPUT!#REF!,"AAAAAD2+65c=")</f>
        <v>#REF!</v>
      </c>
      <c r="EW2" t="e">
        <f>AND(INPUT!#REF!,"AAAAAD2+65g=")</f>
        <v>#REF!</v>
      </c>
      <c r="EX2" t="e">
        <f>AND(INPUT!#REF!,"AAAAAD2+65k=")</f>
        <v>#REF!</v>
      </c>
      <c r="EY2" t="e">
        <f>AND(INPUT!H56,"AAAAAD2+65o=")</f>
        <v>#VALUE!</v>
      </c>
      <c r="EZ2" t="e">
        <f>AND(INPUT!#REF!,"AAAAAD2+65s=")</f>
        <v>#REF!</v>
      </c>
      <c r="FA2" t="e">
        <f>AND(INPUT!I52,"AAAAAD2+65w=")</f>
        <v>#VALUE!</v>
      </c>
      <c r="FB2" t="e">
        <f>AND(INPUT!#REF!,"AAAAAD2+650=")</f>
        <v>#REF!</v>
      </c>
      <c r="FC2">
        <f>IF(INPUT!53:53,"AAAAAD2+654=",0)</f>
        <v>0</v>
      </c>
      <c r="FD2" t="e">
        <f>AND(INPUT!C57,"AAAAAD2+658=")</f>
        <v>#VALUE!</v>
      </c>
      <c r="FE2" t="e">
        <f>AND(INPUT!D57,"AAAAAD2+66A=")</f>
        <v>#VALUE!</v>
      </c>
      <c r="FF2" t="e">
        <f>AND(INPUT!E57,"AAAAAD2+66E=")</f>
        <v>#VALUE!</v>
      </c>
      <c r="FG2" t="e">
        <f>AND(INPUT!#REF!,"AAAAAD2+66I=")</f>
        <v>#REF!</v>
      </c>
      <c r="FH2" t="e">
        <f>AND(INPUT!H57,"AAAAAD2+66M=")</f>
        <v>#VALUE!</v>
      </c>
      <c r="FI2" t="e">
        <f>AND(INPUT!#REF!,"AAAAAD2+66Q=")</f>
        <v>#REF!</v>
      </c>
      <c r="FJ2" t="e">
        <f>AND(INPUT!I53,"AAAAAD2+66U=")</f>
        <v>#VALUE!</v>
      </c>
      <c r="FK2" t="e">
        <f>AND(INPUT!#REF!,"AAAAAD2+66Y=")</f>
        <v>#REF!</v>
      </c>
      <c r="FL2">
        <f>IF(INPUT!54:54,"AAAAAD2+66c=",0)</f>
        <v>0</v>
      </c>
      <c r="FM2">
        <f>IF(INPUT!55:55,"AAAAAD2+66g=",0)</f>
        <v>0</v>
      </c>
      <c r="FN2">
        <f>IF(INPUT!56:56,"AAAAAD2+66k=",0)</f>
        <v>0</v>
      </c>
      <c r="FO2">
        <f>IF(INPUT!57:57,"AAAAAD2+66o=",0)</f>
        <v>0</v>
      </c>
      <c r="FP2">
        <f>IF(INPUT!58:58,"AAAAAD2+66s=",0)</f>
        <v>0</v>
      </c>
      <c r="FQ2">
        <f>IF(INPUT!59:59,"AAAAAD2+66w=",0)</f>
        <v>0</v>
      </c>
      <c r="FR2">
        <f>IF(INPUT!60:60,"AAAAAD2+660=",0)</f>
        <v>0</v>
      </c>
      <c r="FS2">
        <f>IF(INPUT!61:61,"AAAAAD2+664=",0)</f>
        <v>0</v>
      </c>
      <c r="FT2">
        <f>IF(INPUT!62:62,"AAAAAD2+668=",0)</f>
        <v>0</v>
      </c>
      <c r="FU2">
        <f>IF(INPUT!63:63,"AAAAAD2+67A=",0)</f>
        <v>0</v>
      </c>
      <c r="FV2">
        <f>IF(INPUT!64:64,"AAAAAD2+67E=",0)</f>
        <v>0</v>
      </c>
      <c r="FW2">
        <f>IF(INPUT!65:65,"AAAAAD2+67I=",0)</f>
        <v>0</v>
      </c>
      <c r="FX2">
        <f>IF(INPUT!66:66,"AAAAAD2+67M=",0)</f>
        <v>0</v>
      </c>
      <c r="FY2">
        <f>IF(INPUT!67:67,"AAAAAD2+67Q=",0)</f>
        <v>0</v>
      </c>
      <c r="FZ2">
        <f>IF(INPUT!68:68,"AAAAAD2+67U=",0)</f>
        <v>0</v>
      </c>
      <c r="GA2">
        <f>IF(INPUT!69:69,"AAAAAD2+67Y=",0)</f>
        <v>0</v>
      </c>
      <c r="GB2">
        <f>IF(INPUT!70:70,"AAAAAD2+67c=",0)</f>
        <v>0</v>
      </c>
      <c r="GC2">
        <f>IF(INPUT!71:71,"AAAAAD2+67g=",0)</f>
        <v>0</v>
      </c>
      <c r="GD2">
        <f>IF(INPUT!72:72,"AAAAAD2+67k=",0)</f>
        <v>0</v>
      </c>
      <c r="GE2">
        <f>IF(INPUT!73:73,"AAAAAD2+67o=",0)</f>
        <v>0</v>
      </c>
      <c r="GF2">
        <f>IF(INPUT!74:74,"AAAAAD2+67s=",0)</f>
        <v>0</v>
      </c>
      <c r="GG2">
        <f>IF(INPUT!75:75,"AAAAAD2+67w=",0)</f>
        <v>0</v>
      </c>
      <c r="GH2">
        <f>IF(INPUT!76:76,"AAAAAD2+670=",0)</f>
        <v>0</v>
      </c>
      <c r="GI2">
        <f>IF(INPUT!77:77,"AAAAAD2+674=",0)</f>
        <v>0</v>
      </c>
      <c r="GJ2">
        <f>IF(INPUT!78:78,"AAAAAD2+678=",0)</f>
        <v>0</v>
      </c>
      <c r="GK2">
        <f>IF(INPUT!79:79,"AAAAAD2+68A=",0)</f>
        <v>0</v>
      </c>
      <c r="GL2">
        <f>IF(INPUT!80:80,"AAAAAD2+68E=",0)</f>
        <v>0</v>
      </c>
      <c r="GM2">
        <f>IF(INPUT!81:81,"AAAAAD2+68I=",0)</f>
        <v>0</v>
      </c>
      <c r="GN2">
        <f>IF(INPUT!82:82,"AAAAAD2+68M=",0)</f>
        <v>0</v>
      </c>
      <c r="GO2">
        <f>IF(INPUT!83:83,"AAAAAD2+68Q=",0)</f>
        <v>0</v>
      </c>
      <c r="GP2">
        <f>IF(INPUT!84:84,"AAAAAD2+68U=",0)</f>
        <v>0</v>
      </c>
      <c r="GQ2">
        <f>IF(INPUT!85:85,"AAAAAD2+68Y=",0)</f>
        <v>0</v>
      </c>
      <c r="GR2">
        <f>IF(INPUT!86:86,"AAAAAD2+68c=",0)</f>
        <v>0</v>
      </c>
      <c r="GS2">
        <f>IF(INPUT!87:87,"AAAAAD2+68g=",0)</f>
        <v>0</v>
      </c>
      <c r="GT2">
        <f>IF(INPUT!88:88,"AAAAAD2+68k=",0)</f>
        <v>0</v>
      </c>
      <c r="GU2">
        <f>IF(INPUT!89:89,"AAAAAD2+68o=",0)</f>
        <v>0</v>
      </c>
      <c r="GV2">
        <f>IF(INPUT!90:90,"AAAAAD2+68s=",0)</f>
        <v>0</v>
      </c>
      <c r="GW2">
        <f>IF(INPUT!91:91,"AAAAAD2+68w=",0)</f>
        <v>0</v>
      </c>
      <c r="GX2">
        <f>IF(INPUT!92:92,"AAAAAD2+680=",0)</f>
        <v>0</v>
      </c>
      <c r="GY2">
        <f>IF(INPUT!93:93,"AAAAAD2+684=",0)</f>
        <v>0</v>
      </c>
      <c r="GZ2">
        <f>IF(INPUT!94:94,"AAAAAD2+688=",0)</f>
        <v>0</v>
      </c>
      <c r="HA2">
        <f>IF(INPUT!95:95,"AAAAAD2+69A=",0)</f>
        <v>0</v>
      </c>
      <c r="HB2">
        <f>IF(INPUT!96:96,"AAAAAD2+69E=",0)</f>
        <v>0</v>
      </c>
      <c r="HC2">
        <f>IF(INPUT!97:97,"AAAAAD2+69I=",0)</f>
        <v>0</v>
      </c>
      <c r="HD2">
        <f>IF(INPUT!98:98,"AAAAAD2+69M=",0)</f>
        <v>0</v>
      </c>
      <c r="HE2">
        <f>IF(INPUT!99:99,"AAAAAD2+69Q=",0)</f>
        <v>0</v>
      </c>
      <c r="HF2">
        <f>IF(INPUT!100:100,"AAAAAD2+69U=",0)</f>
        <v>0</v>
      </c>
      <c r="HG2">
        <f>IF(INPUT!101:101,"AAAAAD2+69Y=",0)</f>
        <v>0</v>
      </c>
      <c r="HH2">
        <f>IF(INPUT!102:102,"AAAAAD2+69c=",0)</f>
        <v>0</v>
      </c>
      <c r="HI2">
        <f>IF(INPUT!103:103,"AAAAAD2+69g=",0)</f>
        <v>0</v>
      </c>
      <c r="HJ2">
        <f>IF(INPUT!104:104,"AAAAAD2+69k=",0)</f>
        <v>0</v>
      </c>
      <c r="HK2">
        <f>IF(INPUT!105:105,"AAAAAD2+69o=",0)</f>
        <v>0</v>
      </c>
      <c r="HL2">
        <f>IF(INPUT!106:106,"AAAAAD2+69s=",0)</f>
        <v>0</v>
      </c>
      <c r="HM2">
        <f>IF(INPUT!107:107,"AAAAAD2+69w=",0)</f>
        <v>0</v>
      </c>
      <c r="HN2">
        <f>IF(INPUT!108:108,"AAAAAD2+690=",0)</f>
        <v>0</v>
      </c>
      <c r="HO2">
        <f>IF(INPUT!109:109,"AAAAAD2+694=",0)</f>
        <v>0</v>
      </c>
      <c r="HP2">
        <f>IF(INPUT!110:110,"AAAAAD2+698=",0)</f>
        <v>0</v>
      </c>
      <c r="HQ2">
        <f>IF(INPUT!111:111,"AAAAAD2+6+A=",0)</f>
        <v>0</v>
      </c>
      <c r="HR2">
        <f>IF(INPUT!112:112,"AAAAAD2+6+E=",0)</f>
        <v>0</v>
      </c>
      <c r="HS2">
        <f>IF(INPUT!113:113,"AAAAAD2+6+I=",0)</f>
        <v>0</v>
      </c>
      <c r="HT2">
        <f>IF(INPUT!114:114,"AAAAAD2+6+M=",0)</f>
        <v>0</v>
      </c>
      <c r="HU2">
        <f>IF(INPUT!115:115,"AAAAAD2+6+Q=",0)</f>
        <v>0</v>
      </c>
      <c r="HV2">
        <f>IF(INPUT!116:116,"AAAAAD2+6+U=",0)</f>
        <v>0</v>
      </c>
      <c r="HW2">
        <f>IF(INPUT!117:117,"AAAAAD2+6+Y=",0)</f>
        <v>0</v>
      </c>
      <c r="HX2">
        <f>IF(INPUT!118:118,"AAAAAD2+6+c=",0)</f>
        <v>0</v>
      </c>
      <c r="HY2">
        <f>IF(INPUT!119:119,"AAAAAD2+6+g=",0)</f>
        <v>0</v>
      </c>
      <c r="HZ2">
        <f>IF(INPUT!120:120,"AAAAAD2+6+k=",0)</f>
        <v>0</v>
      </c>
      <c r="IA2">
        <f>IF(INPUT!121:121,"AAAAAD2+6+o=",0)</f>
        <v>0</v>
      </c>
      <c r="IB2">
        <f>IF(INPUT!122:122,"AAAAAD2+6+s=",0)</f>
        <v>0</v>
      </c>
      <c r="IC2">
        <f>IF(INPUT!123:123,"AAAAAD2+6+w=",0)</f>
        <v>0</v>
      </c>
      <c r="ID2">
        <f>IF(INPUT!124:124,"AAAAAD2+6+0=",0)</f>
        <v>0</v>
      </c>
      <c r="IE2">
        <f>IF(INPUT!125:125,"AAAAAD2+6+4=",0)</f>
        <v>0</v>
      </c>
      <c r="IF2">
        <f>IF(INPUT!126:126,"AAAAAD2+6+8=",0)</f>
        <v>0</v>
      </c>
      <c r="IG2">
        <f>IF(INPUT!127:127,"AAAAAD2+6/A=",0)</f>
        <v>0</v>
      </c>
      <c r="IH2">
        <f>IF(INPUT!128:128,"AAAAAD2+6/E=",0)</f>
        <v>0</v>
      </c>
      <c r="II2">
        <f>IF(INPUT!129:129,"AAAAAD2+6/I=",0)</f>
        <v>0</v>
      </c>
      <c r="IJ2">
        <f>IF(INPUT!130:130,"AAAAAD2+6/M=",0)</f>
        <v>0</v>
      </c>
      <c r="IK2">
        <f>IF(INPUT!131:131,"AAAAAD2+6/Q=",0)</f>
        <v>0</v>
      </c>
      <c r="IL2">
        <f>IF(INPUT!132:132,"AAAAAD2+6/U=",0)</f>
        <v>0</v>
      </c>
      <c r="IM2">
        <f>IF(INPUT!133:133,"AAAAAD2+6/Y=",0)</f>
        <v>0</v>
      </c>
      <c r="IN2">
        <f>IF(INPUT!134:134,"AAAAAD2+6/c=",0)</f>
        <v>0</v>
      </c>
      <c r="IO2">
        <f>IF(INPUT!135:135,"AAAAAD2+6/g=",0)</f>
        <v>0</v>
      </c>
      <c r="IP2">
        <f>IF(INPUT!136:136,"AAAAAD2+6/k=",0)</f>
        <v>0</v>
      </c>
      <c r="IQ2">
        <f>IF(INPUT!137:137,"AAAAAD2+6/o=",0)</f>
        <v>0</v>
      </c>
      <c r="IR2">
        <f>IF(INPUT!138:138,"AAAAAD2+6/s=",0)</f>
        <v>0</v>
      </c>
      <c r="IS2">
        <f>IF(INPUT!139:139,"AAAAAD2+6/w=",0)</f>
        <v>0</v>
      </c>
      <c r="IT2">
        <f>IF(INPUT!140:140,"AAAAAD2+6/0=",0)</f>
        <v>0</v>
      </c>
      <c r="IU2">
        <f>IF(INPUT!141:141,"AAAAAD2+6/4=",0)</f>
        <v>0</v>
      </c>
      <c r="IV2">
        <f>IF(INPUT!142:142,"AAAAAD2+6/8=",0)</f>
        <v>0</v>
      </c>
    </row>
    <row r="3" spans="1:256" x14ac:dyDescent="0.2">
      <c r="A3">
        <f>IF(INPUT!143:143,"AAAAAHf5rwA=",0)</f>
        <v>0</v>
      </c>
      <c r="B3">
        <f>IF(INPUT!144:144,"AAAAAHf5rwE=",0)</f>
        <v>0</v>
      </c>
      <c r="C3">
        <f>IF(INPUT!145:145,"AAAAAHf5rwI=",0)</f>
        <v>0</v>
      </c>
      <c r="D3">
        <f>IF(INPUT!146:146,"AAAAAHf5rwM=",0)</f>
        <v>0</v>
      </c>
      <c r="E3">
        <f>IF(INPUT!147:147,"AAAAAHf5rwQ=",0)</f>
        <v>0</v>
      </c>
      <c r="F3">
        <f>IF(INPUT!148:148,"AAAAAHf5rwU=",0)</f>
        <v>0</v>
      </c>
      <c r="G3">
        <f>IF(INPUT!149:149,"AAAAAHf5rwY=",0)</f>
        <v>0</v>
      </c>
      <c r="H3">
        <f>IF(INPUT!150:150,"AAAAAHf5rwc=",0)</f>
        <v>0</v>
      </c>
      <c r="I3">
        <f>IF(INPUT!151:151,"AAAAAHf5rwg=",0)</f>
        <v>0</v>
      </c>
      <c r="J3">
        <f>IF(INPUT!152:152,"AAAAAHf5rwk=",0)</f>
        <v>0</v>
      </c>
      <c r="K3">
        <f>IF(INPUT!153:153,"AAAAAHf5rwo=",0)</f>
        <v>0</v>
      </c>
      <c r="L3">
        <f>IF(INPUT!154:154,"AAAAAHf5rws=",0)</f>
        <v>0</v>
      </c>
      <c r="M3">
        <f>IF(INPUT!155:155,"AAAAAHf5rww=",0)</f>
        <v>0</v>
      </c>
      <c r="N3">
        <f>IF(INPUT!156:156,"AAAAAHf5rw0=",0)</f>
        <v>0</v>
      </c>
      <c r="O3">
        <f>IF(INPUT!157:157,"AAAAAHf5rw4=",0)</f>
        <v>0</v>
      </c>
      <c r="P3">
        <f>IF(INPUT!158:158,"AAAAAHf5rw8=",0)</f>
        <v>0</v>
      </c>
      <c r="Q3">
        <f>IF(INPUT!159:159,"AAAAAHf5rxA=",0)</f>
        <v>0</v>
      </c>
      <c r="R3">
        <f>IF(INPUT!160:160,"AAAAAHf5rxE=",0)</f>
        <v>0</v>
      </c>
      <c r="S3">
        <f>IF(INPUT!161:161,"AAAAAHf5rxI=",0)</f>
        <v>0</v>
      </c>
      <c r="T3">
        <f>IF(INPUT!162:162,"AAAAAHf5rxM=",0)</f>
        <v>0</v>
      </c>
      <c r="U3">
        <f>IF(INPUT!163:163,"AAAAAHf5rxQ=",0)</f>
        <v>0</v>
      </c>
      <c r="V3">
        <f>IF(INPUT!164:164,"AAAAAHf5rxU=",0)</f>
        <v>0</v>
      </c>
      <c r="W3">
        <f>IF(INPUT!165:165,"AAAAAHf5rxY=",0)</f>
        <v>0</v>
      </c>
      <c r="X3">
        <f>IF(INPUT!166:166,"AAAAAHf5rxc=",0)</f>
        <v>0</v>
      </c>
      <c r="Y3">
        <f>IF(INPUT!167:167,"AAAAAHf5rxg=",0)</f>
        <v>0</v>
      </c>
      <c r="Z3">
        <f>IF(INPUT!168:168,"AAAAAHf5rxk=",0)</f>
        <v>0</v>
      </c>
      <c r="AA3">
        <f>IF(INPUT!169:169,"AAAAAHf5rxo=",0)</f>
        <v>0</v>
      </c>
      <c r="AB3">
        <f>IF(INPUT!170:170,"AAAAAHf5rxs=",0)</f>
        <v>0</v>
      </c>
      <c r="AC3">
        <f>IF(INPUT!171:171,"AAAAAHf5rxw=",0)</f>
        <v>0</v>
      </c>
      <c r="AD3">
        <f>IF(INPUT!172:172,"AAAAAHf5rx0=",0)</f>
        <v>0</v>
      </c>
      <c r="AE3">
        <f>IF(INPUT!173:173,"AAAAAHf5rx4=",0)</f>
        <v>0</v>
      </c>
      <c r="AF3">
        <f>IF(INPUT!174:174,"AAAAAHf5rx8=",0)</f>
        <v>0</v>
      </c>
      <c r="AG3">
        <f>IF(INPUT!175:175,"AAAAAHf5ryA=",0)</f>
        <v>0</v>
      </c>
      <c r="AH3">
        <f>IF(INPUT!176:176,"AAAAAHf5ryE=",0)</f>
        <v>0</v>
      </c>
      <c r="AI3">
        <f>IF(INPUT!177:177,"AAAAAHf5ryI=",0)</f>
        <v>0</v>
      </c>
      <c r="AJ3">
        <f>IF(INPUT!178:178,"AAAAAHf5ryM=",0)</f>
        <v>0</v>
      </c>
      <c r="AK3">
        <f>IF(INPUT!B:B,"AAAAAHf5ryQ=",0)</f>
        <v>0</v>
      </c>
      <c r="AL3" t="e">
        <f>IF(INPUT!C:C,"AAAAAHf5ryU=",0)</f>
        <v>#VALUE!</v>
      </c>
      <c r="AM3">
        <f>IF(INPUT!D:D,"AAAAAHf5ryY=",0)</f>
        <v>0</v>
      </c>
      <c r="AN3">
        <f>IF(INPUT!E:E,"AAAAAHf5ryc=",0)</f>
        <v>0</v>
      </c>
      <c r="AO3" t="e">
        <f>IF(INPUT!#REF!,"AAAAAHf5ryg=",0)</f>
        <v>#REF!</v>
      </c>
      <c r="AP3">
        <f>IF(INPUT!H:H,"AAAAAHf5ryk=",0)</f>
        <v>0</v>
      </c>
      <c r="AQ3" t="e">
        <f>IF(INPUT!#REF!,"AAAAAHf5ryo=",0)</f>
        <v>#REF!</v>
      </c>
      <c r="AR3">
        <f>IF(INPUT!I:I,"AAAAAHf5rys=",0)</f>
        <v>0</v>
      </c>
      <c r="AS3" t="e">
        <f>IF(INPUT!#REF!,"AAAAAHf5ryw=",0)</f>
        <v>#REF!</v>
      </c>
      <c r="AT3" t="e">
        <f>IF(OUTPUT!#REF!,"AAAAAHf5ry0=",0)</f>
        <v>#REF!</v>
      </c>
      <c r="AU3" t="e">
        <f>AND(OUTPUT!#REF!,"AAAAAHf5ry4=")</f>
        <v>#REF!</v>
      </c>
      <c r="AV3" t="e">
        <f>AND(OUTPUT!#REF!,"AAAAAHf5ry8=")</f>
        <v>#REF!</v>
      </c>
      <c r="AW3" t="e">
        <f>AND(OUTPUT!#REF!,"AAAAAHf5rzA=")</f>
        <v>#REF!</v>
      </c>
      <c r="AX3" t="e">
        <f>AND(OUTPUT!#REF!,"AAAAAHf5rzE=")</f>
        <v>#REF!</v>
      </c>
      <c r="AY3" t="e">
        <f>AND(OUTPUT!#REF!,"AAAAAHf5rzI=")</f>
        <v>#REF!</v>
      </c>
      <c r="AZ3" t="e">
        <f>AND(OUTPUT!#REF!,"AAAAAHf5rzM=")</f>
        <v>#REF!</v>
      </c>
      <c r="BA3" t="e">
        <f>AND(OUTPUT!#REF!,"AAAAAHf5rzQ=")</f>
        <v>#REF!</v>
      </c>
      <c r="BB3" t="e">
        <f>AND(OUTPUT!#REF!,"AAAAAHf5rzU=")</f>
        <v>#REF!</v>
      </c>
      <c r="BC3" t="e">
        <f>AND(OUTPUT!#REF!,"AAAAAHf5rzY=")</f>
        <v>#REF!</v>
      </c>
      <c r="BD3" t="e">
        <f>AND(OUTPUT!#REF!,"AAAAAHf5rzc=")</f>
        <v>#REF!</v>
      </c>
      <c r="BE3" t="e">
        <f>AND(OUTPUT!#REF!,"AAAAAHf5rzg=")</f>
        <v>#REF!</v>
      </c>
      <c r="BF3" t="e">
        <f>AND(OUTPUT!#REF!,"AAAAAHf5rzk=")</f>
        <v>#REF!</v>
      </c>
      <c r="BG3" t="e">
        <f>AND(OUTPUT!#REF!,"AAAAAHf5rzo=")</f>
        <v>#REF!</v>
      </c>
      <c r="BH3">
        <f>IF(OUTPUT!10:10,"AAAAAHf5rzs=",0)</f>
        <v>0</v>
      </c>
      <c r="BI3" t="e">
        <f>AND(OUTPUT!C10,"AAAAAHf5rzw=")</f>
        <v>#VALUE!</v>
      </c>
      <c r="BJ3" t="e">
        <f>AND(OUTPUT!D10,"AAAAAHf5rz0=")</f>
        <v>#VALUE!</v>
      </c>
      <c r="BK3" t="e">
        <f>AND(OUTPUT!E10,"AAAAAHf5rz4=")</f>
        <v>#VALUE!</v>
      </c>
      <c r="BL3" t="e">
        <f>AND(OUTPUT!F10,"AAAAAHf5rz8=")</f>
        <v>#VALUE!</v>
      </c>
      <c r="BM3" t="e">
        <f>AND(OUTPUT!G10,"AAAAAHf5r0A=")</f>
        <v>#VALUE!</v>
      </c>
      <c r="BN3" t="e">
        <f>AND(OUTPUT!I10,"AAAAAHf5r0E=")</f>
        <v>#VALUE!</v>
      </c>
      <c r="BO3" t="e">
        <f>AND(OUTPUT!#REF!,"AAAAAHf5r0I=")</f>
        <v>#REF!</v>
      </c>
      <c r="BP3" t="e">
        <f>AND(OUTPUT!#REF!,"AAAAAHf5r0M=")</f>
        <v>#REF!</v>
      </c>
      <c r="BQ3" t="e">
        <f>AND(OUTPUT!#REF!,"AAAAAHf5r0Q=")</f>
        <v>#REF!</v>
      </c>
      <c r="BR3" t="e">
        <f>AND(OUTPUT!#REF!,"AAAAAHf5r0U=")</f>
        <v>#REF!</v>
      </c>
      <c r="BS3" t="e">
        <f>AND(OUTPUT!#REF!,"AAAAAHf5r0Y=")</f>
        <v>#REF!</v>
      </c>
      <c r="BT3" t="e">
        <f>AND(OUTPUT!#REF!,"AAAAAHf5r0c=")</f>
        <v>#REF!</v>
      </c>
      <c r="BU3" t="e">
        <f>AND(OUTPUT!#REF!,"AAAAAHf5r0g=")</f>
        <v>#REF!</v>
      </c>
      <c r="BV3">
        <f>IF(OUTPUT!11:11,"AAAAAHf5r0k=",0)</f>
        <v>0</v>
      </c>
      <c r="BW3" t="e">
        <f>AND(OUTPUT!C11,"AAAAAHf5r0o=")</f>
        <v>#VALUE!</v>
      </c>
      <c r="BX3" t="e">
        <f>AND(OUTPUT!D11,"AAAAAHf5r0s=")</f>
        <v>#VALUE!</v>
      </c>
      <c r="BY3" t="e">
        <f>AND(OUTPUT!E11,"AAAAAHf5r0w=")</f>
        <v>#VALUE!</v>
      </c>
      <c r="BZ3" t="e">
        <f>AND(OUTPUT!F11,"AAAAAHf5r00=")</f>
        <v>#VALUE!</v>
      </c>
      <c r="CA3" t="e">
        <f>AND(OUTPUT!G11,"AAAAAHf5r04=")</f>
        <v>#VALUE!</v>
      </c>
      <c r="CB3" t="e">
        <f>AND(OUTPUT!I11,"AAAAAHf5r08=")</f>
        <v>#VALUE!</v>
      </c>
      <c r="CC3" t="e">
        <f>AND(OUTPUT!#REF!,"AAAAAHf5r1A=")</f>
        <v>#REF!</v>
      </c>
      <c r="CD3" t="e">
        <f>AND(OUTPUT!#REF!,"AAAAAHf5r1E=")</f>
        <v>#REF!</v>
      </c>
      <c r="CE3" t="e">
        <f>AND(OUTPUT!#REF!,"AAAAAHf5r1I=")</f>
        <v>#REF!</v>
      </c>
      <c r="CF3" t="e">
        <f>AND(OUTPUT!#REF!,"AAAAAHf5r1M=")</f>
        <v>#REF!</v>
      </c>
      <c r="CG3" t="e">
        <f>AND(OUTPUT!#REF!,"AAAAAHf5r1Q=")</f>
        <v>#REF!</v>
      </c>
      <c r="CH3" t="e">
        <f>AND(OUTPUT!#REF!,"AAAAAHf5r1U=")</f>
        <v>#REF!</v>
      </c>
      <c r="CI3" t="e">
        <f>AND(OUTPUT!#REF!,"AAAAAHf5r1Y=")</f>
        <v>#REF!</v>
      </c>
      <c r="CJ3">
        <f>IF(OUTPUT!12:12,"AAAAAHf5r1c=",0)</f>
        <v>0</v>
      </c>
      <c r="CK3" t="e">
        <f>AND(OUTPUT!C15,"AAAAAHf5r1g=")</f>
        <v>#VALUE!</v>
      </c>
      <c r="CL3" t="e">
        <f>AND(OUTPUT!D15,"AAAAAHf5r1k=")</f>
        <v>#VALUE!</v>
      </c>
      <c r="CM3" t="e">
        <f>AND(OUTPUT!E15,"AAAAAHf5r1o=")</f>
        <v>#VALUE!</v>
      </c>
      <c r="CN3" t="e">
        <f>AND(OUTPUT!F15,"AAAAAHf5r1s=")</f>
        <v>#VALUE!</v>
      </c>
      <c r="CO3" t="e">
        <f>AND(OUTPUT!G15,"AAAAAHf5r1w=")</f>
        <v>#VALUE!</v>
      </c>
      <c r="CP3" t="e">
        <f>AND(OUTPUT!I12,"AAAAAHf5r10=")</f>
        <v>#VALUE!</v>
      </c>
      <c r="CQ3" t="e">
        <f>AND(OUTPUT!#REF!,"AAAAAHf5r14=")</f>
        <v>#REF!</v>
      </c>
      <c r="CR3" t="e">
        <f>AND(OUTPUT!#REF!,"AAAAAHf5r18=")</f>
        <v>#REF!</v>
      </c>
      <c r="CS3" t="e">
        <f>AND(OUTPUT!#REF!,"AAAAAHf5r2A=")</f>
        <v>#REF!</v>
      </c>
      <c r="CT3" t="e">
        <f>AND(OUTPUT!#REF!,"AAAAAHf5r2E=")</f>
        <v>#REF!</v>
      </c>
      <c r="CU3" t="e">
        <f>AND(OUTPUT!#REF!,"AAAAAHf5r2I=")</f>
        <v>#REF!</v>
      </c>
      <c r="CV3" t="e">
        <f>AND(OUTPUT!#REF!,"AAAAAHf5r2M=")</f>
        <v>#REF!</v>
      </c>
      <c r="CW3" t="e">
        <f>AND(OUTPUT!#REF!,"AAAAAHf5r2Q=")</f>
        <v>#REF!</v>
      </c>
      <c r="CX3">
        <f>IF(OUTPUT!13:13,"AAAAAHf5r2U=",0)</f>
        <v>0</v>
      </c>
      <c r="CY3" t="e">
        <f>AND(OUTPUT!C16,"AAAAAHf5r2Y=")</f>
        <v>#VALUE!</v>
      </c>
      <c r="CZ3" t="e">
        <f>AND(OUTPUT!D16,"AAAAAHf5r2c=")</f>
        <v>#VALUE!</v>
      </c>
      <c r="DA3" t="e">
        <f>AND(OUTPUT!E16,"AAAAAHf5r2g=")</f>
        <v>#VALUE!</v>
      </c>
      <c r="DB3" t="e">
        <f>AND(OUTPUT!F16,"AAAAAHf5r2k=")</f>
        <v>#VALUE!</v>
      </c>
      <c r="DC3" t="e">
        <f>AND(OUTPUT!G16,"AAAAAHf5r2o=")</f>
        <v>#VALUE!</v>
      </c>
      <c r="DD3" t="e">
        <f>AND(OUTPUT!I13,"AAAAAHf5r2s=")</f>
        <v>#VALUE!</v>
      </c>
      <c r="DE3" t="e">
        <f>AND(OUTPUT!#REF!,"AAAAAHf5r2w=")</f>
        <v>#REF!</v>
      </c>
      <c r="DF3" t="e">
        <f>AND(OUTPUT!#REF!,"AAAAAHf5r20=")</f>
        <v>#REF!</v>
      </c>
      <c r="DG3" t="e">
        <f>AND(OUTPUT!#REF!,"AAAAAHf5r24=")</f>
        <v>#REF!</v>
      </c>
      <c r="DH3" t="e">
        <f>AND(OUTPUT!#REF!,"AAAAAHf5r28=")</f>
        <v>#REF!</v>
      </c>
      <c r="DI3" t="e">
        <f>AND(OUTPUT!#REF!,"AAAAAHf5r3A=")</f>
        <v>#REF!</v>
      </c>
      <c r="DJ3" t="e">
        <f>AND(OUTPUT!#REF!,"AAAAAHf5r3E=")</f>
        <v>#REF!</v>
      </c>
      <c r="DK3" t="e">
        <f>AND(OUTPUT!#REF!,"AAAAAHf5r3I=")</f>
        <v>#REF!</v>
      </c>
      <c r="DL3">
        <f>IF(OUTPUT!14:14,"AAAAAHf5r3M=",0)</f>
        <v>0</v>
      </c>
      <c r="DM3" t="e">
        <f>AND(OUTPUT!C17,"AAAAAHf5r3Q=")</f>
        <v>#VALUE!</v>
      </c>
      <c r="DN3" t="e">
        <f>AND(OUTPUT!D17,"AAAAAHf5r3U=")</f>
        <v>#VALUE!</v>
      </c>
      <c r="DO3" t="e">
        <f>AND(OUTPUT!E17,"AAAAAHf5r3Y=")</f>
        <v>#VALUE!</v>
      </c>
      <c r="DP3" t="e">
        <f>AND(OUTPUT!F17,"AAAAAHf5r3c=")</f>
        <v>#VALUE!</v>
      </c>
      <c r="DQ3" t="e">
        <f>AND(OUTPUT!G17,"AAAAAHf5r3g=")</f>
        <v>#VALUE!</v>
      </c>
      <c r="DR3" t="e">
        <f>AND(OUTPUT!I14,"AAAAAHf5r3k=")</f>
        <v>#VALUE!</v>
      </c>
      <c r="DS3" t="e">
        <f>AND(OUTPUT!#REF!,"AAAAAHf5r3o=")</f>
        <v>#REF!</v>
      </c>
      <c r="DT3" t="e">
        <f>AND(OUTPUT!#REF!,"AAAAAHf5r3s=")</f>
        <v>#REF!</v>
      </c>
      <c r="DU3" t="e">
        <f>AND(OUTPUT!#REF!,"AAAAAHf5r3w=")</f>
        <v>#REF!</v>
      </c>
      <c r="DV3" t="e">
        <f>AND(OUTPUT!#REF!,"AAAAAHf5r30=")</f>
        <v>#REF!</v>
      </c>
      <c r="DW3" t="e">
        <f>AND(OUTPUT!#REF!,"AAAAAHf5r34=")</f>
        <v>#REF!</v>
      </c>
      <c r="DX3" t="e">
        <f>AND(OUTPUT!#REF!,"AAAAAHf5r38=")</f>
        <v>#REF!</v>
      </c>
      <c r="DY3" t="e">
        <f>AND(OUTPUT!#REF!,"AAAAAHf5r4A=")</f>
        <v>#REF!</v>
      </c>
      <c r="DZ3">
        <f>IF(OUTPUT!15:15,"AAAAAHf5r4E=",0)</f>
        <v>0</v>
      </c>
      <c r="EA3" t="e">
        <f>AND(OUTPUT!C18,"AAAAAHf5r4I=")</f>
        <v>#VALUE!</v>
      </c>
      <c r="EB3" t="e">
        <f>AND(OUTPUT!D18,"AAAAAHf5r4M=")</f>
        <v>#VALUE!</v>
      </c>
      <c r="EC3" t="e">
        <f>AND(OUTPUT!E18,"AAAAAHf5r4Q=")</f>
        <v>#VALUE!</v>
      </c>
      <c r="ED3" t="e">
        <f>AND(OUTPUT!F18,"AAAAAHf5r4U=")</f>
        <v>#VALUE!</v>
      </c>
      <c r="EE3" t="e">
        <f>AND(OUTPUT!G18,"AAAAAHf5r4Y=")</f>
        <v>#VALUE!</v>
      </c>
      <c r="EF3" t="e">
        <f>AND(OUTPUT!I15,"AAAAAHf5r4c=")</f>
        <v>#VALUE!</v>
      </c>
      <c r="EG3" t="e">
        <f>AND(OUTPUT!#REF!,"AAAAAHf5r4g=")</f>
        <v>#REF!</v>
      </c>
      <c r="EH3" t="e">
        <f>AND(OUTPUT!#REF!,"AAAAAHf5r4k=")</f>
        <v>#REF!</v>
      </c>
      <c r="EI3" t="e">
        <f>AND(OUTPUT!#REF!,"AAAAAHf5r4o=")</f>
        <v>#REF!</v>
      </c>
      <c r="EJ3" t="e">
        <f>AND(OUTPUT!#REF!,"AAAAAHf5r4s=")</f>
        <v>#REF!</v>
      </c>
      <c r="EK3" t="e">
        <f>AND(OUTPUT!#REF!,"AAAAAHf5r4w=")</f>
        <v>#REF!</v>
      </c>
      <c r="EL3" t="e">
        <f>AND(OUTPUT!#REF!,"AAAAAHf5r40=")</f>
        <v>#REF!</v>
      </c>
      <c r="EM3" t="e">
        <f>AND(OUTPUT!#REF!,"AAAAAHf5r44=")</f>
        <v>#REF!</v>
      </c>
      <c r="EN3">
        <f>IF(OUTPUT!16:16,"AAAAAHf5r48=",0)</f>
        <v>0</v>
      </c>
      <c r="EO3" t="e">
        <f>AND(OUTPUT!C19,"AAAAAHf5r5A=")</f>
        <v>#VALUE!</v>
      </c>
      <c r="EP3" t="e">
        <f>AND(OUTPUT!D19,"AAAAAHf5r5E=")</f>
        <v>#VALUE!</v>
      </c>
      <c r="EQ3" t="e">
        <f>AND(OUTPUT!E19,"AAAAAHf5r5I=")</f>
        <v>#VALUE!</v>
      </c>
      <c r="ER3" t="e">
        <f>AND(OUTPUT!F19,"AAAAAHf5r5M=")</f>
        <v>#VALUE!</v>
      </c>
      <c r="ES3" t="e">
        <f>AND(OUTPUT!G19,"AAAAAHf5r5Q=")</f>
        <v>#VALUE!</v>
      </c>
      <c r="ET3" t="e">
        <f>AND(OUTPUT!I16,"AAAAAHf5r5U=")</f>
        <v>#VALUE!</v>
      </c>
      <c r="EU3" t="e">
        <f>AND(OUTPUT!#REF!,"AAAAAHf5r5Y=")</f>
        <v>#REF!</v>
      </c>
      <c r="EV3" t="e">
        <f>AND(OUTPUT!#REF!,"AAAAAHf5r5c=")</f>
        <v>#REF!</v>
      </c>
      <c r="EW3" t="e">
        <f>AND(OUTPUT!#REF!,"AAAAAHf5r5g=")</f>
        <v>#REF!</v>
      </c>
      <c r="EX3" t="e">
        <f>AND(OUTPUT!#REF!,"AAAAAHf5r5k=")</f>
        <v>#REF!</v>
      </c>
      <c r="EY3" t="e">
        <f>AND(OUTPUT!#REF!,"AAAAAHf5r5o=")</f>
        <v>#REF!</v>
      </c>
      <c r="EZ3" t="e">
        <f>AND(OUTPUT!#REF!,"AAAAAHf5r5s=")</f>
        <v>#REF!</v>
      </c>
      <c r="FA3" t="e">
        <f>AND(OUTPUT!#REF!,"AAAAAHf5r5w=")</f>
        <v>#REF!</v>
      </c>
      <c r="FB3">
        <f>IF(OUTPUT!17:17,"AAAAAHf5r50=",0)</f>
        <v>0</v>
      </c>
      <c r="FC3" t="e">
        <f>AND(OUTPUT!C20,"AAAAAHf5r54=")</f>
        <v>#VALUE!</v>
      </c>
      <c r="FD3" t="e">
        <f>AND(OUTPUT!D20,"AAAAAHf5r58=")</f>
        <v>#VALUE!</v>
      </c>
      <c r="FE3" t="e">
        <f>AND(OUTPUT!E20,"AAAAAHf5r6A=")</f>
        <v>#VALUE!</v>
      </c>
      <c r="FF3" t="e">
        <f>AND(OUTPUT!F20,"AAAAAHf5r6E=")</f>
        <v>#VALUE!</v>
      </c>
      <c r="FG3" t="e">
        <f>AND(OUTPUT!G20,"AAAAAHf5r6I=")</f>
        <v>#VALUE!</v>
      </c>
      <c r="FH3" t="e">
        <f>AND(OUTPUT!I17,"AAAAAHf5r6M=")</f>
        <v>#VALUE!</v>
      </c>
      <c r="FI3" t="e">
        <f>AND(OUTPUT!#REF!,"AAAAAHf5r6Q=")</f>
        <v>#REF!</v>
      </c>
      <c r="FJ3" t="e">
        <f>AND(OUTPUT!#REF!,"AAAAAHf5r6U=")</f>
        <v>#REF!</v>
      </c>
      <c r="FK3" t="e">
        <f>AND(OUTPUT!#REF!,"AAAAAHf5r6Y=")</f>
        <v>#REF!</v>
      </c>
      <c r="FL3" t="e">
        <f>AND(OUTPUT!#REF!,"AAAAAHf5r6c=")</f>
        <v>#REF!</v>
      </c>
      <c r="FM3" t="e">
        <f>AND(OUTPUT!#REF!,"AAAAAHf5r6g=")</f>
        <v>#REF!</v>
      </c>
      <c r="FN3" t="e">
        <f>AND(OUTPUT!#REF!,"AAAAAHf5r6k=")</f>
        <v>#REF!</v>
      </c>
      <c r="FO3" t="e">
        <f>AND(OUTPUT!#REF!,"AAAAAHf5r6o=")</f>
        <v>#REF!</v>
      </c>
      <c r="FP3">
        <f>IF(OUTPUT!18:18,"AAAAAHf5r6s=",0)</f>
        <v>0</v>
      </c>
      <c r="FQ3" t="e">
        <f>AND(OUTPUT!C21,"AAAAAHf5r6w=")</f>
        <v>#VALUE!</v>
      </c>
      <c r="FR3" t="e">
        <f>AND(OUTPUT!D21,"AAAAAHf5r60=")</f>
        <v>#VALUE!</v>
      </c>
      <c r="FS3" t="e">
        <f>AND(OUTPUT!E21,"AAAAAHf5r64=")</f>
        <v>#VALUE!</v>
      </c>
      <c r="FT3" t="e">
        <f>AND(OUTPUT!F21,"AAAAAHf5r68=")</f>
        <v>#VALUE!</v>
      </c>
      <c r="FU3" t="e">
        <f>AND(OUTPUT!G21,"AAAAAHf5r7A=")</f>
        <v>#VALUE!</v>
      </c>
      <c r="FV3" t="e">
        <f>AND(OUTPUT!I18,"AAAAAHf5r7E=")</f>
        <v>#VALUE!</v>
      </c>
      <c r="FW3" t="e">
        <f>AND(OUTPUT!#REF!,"AAAAAHf5r7I=")</f>
        <v>#REF!</v>
      </c>
      <c r="FX3" t="e">
        <f>AND(OUTPUT!#REF!,"AAAAAHf5r7M=")</f>
        <v>#REF!</v>
      </c>
      <c r="FY3" t="e">
        <f>AND(OUTPUT!#REF!,"AAAAAHf5r7Q=")</f>
        <v>#REF!</v>
      </c>
      <c r="FZ3" t="e">
        <f>AND(OUTPUT!#REF!,"AAAAAHf5r7U=")</f>
        <v>#REF!</v>
      </c>
      <c r="GA3" t="e">
        <f>AND(OUTPUT!#REF!,"AAAAAHf5r7Y=")</f>
        <v>#REF!</v>
      </c>
      <c r="GB3" t="e">
        <f>AND(OUTPUT!#REF!,"AAAAAHf5r7c=")</f>
        <v>#REF!</v>
      </c>
      <c r="GC3" t="e">
        <f>AND(OUTPUT!#REF!,"AAAAAHf5r7g=")</f>
        <v>#REF!</v>
      </c>
      <c r="GD3">
        <f>IF(OUTPUT!19:19,"AAAAAHf5r7k=",0)</f>
        <v>0</v>
      </c>
      <c r="GE3" t="e">
        <f>AND(OUTPUT!C22,"AAAAAHf5r7o=")</f>
        <v>#VALUE!</v>
      </c>
      <c r="GF3" t="e">
        <f>AND(OUTPUT!D22,"AAAAAHf5r7s=")</f>
        <v>#VALUE!</v>
      </c>
      <c r="GG3" t="e">
        <f>AND(OUTPUT!E22,"AAAAAHf5r7w=")</f>
        <v>#VALUE!</v>
      </c>
      <c r="GH3" t="e">
        <f>AND(OUTPUT!F22,"AAAAAHf5r70=")</f>
        <v>#VALUE!</v>
      </c>
      <c r="GI3" t="e">
        <f>AND(OUTPUT!G22,"AAAAAHf5r74=")</f>
        <v>#VALUE!</v>
      </c>
      <c r="GJ3" t="e">
        <f>AND(OUTPUT!I19,"AAAAAHf5r78=")</f>
        <v>#VALUE!</v>
      </c>
      <c r="GK3" t="e">
        <f>AND(OUTPUT!#REF!,"AAAAAHf5r8A=")</f>
        <v>#REF!</v>
      </c>
      <c r="GL3" t="e">
        <f>AND(OUTPUT!#REF!,"AAAAAHf5r8E=")</f>
        <v>#REF!</v>
      </c>
      <c r="GM3" t="e">
        <f>AND(OUTPUT!#REF!,"AAAAAHf5r8I=")</f>
        <v>#REF!</v>
      </c>
      <c r="GN3" t="e">
        <f>AND(OUTPUT!#REF!,"AAAAAHf5r8M=")</f>
        <v>#REF!</v>
      </c>
      <c r="GO3" t="e">
        <f>AND(OUTPUT!#REF!,"AAAAAHf5r8Q=")</f>
        <v>#REF!</v>
      </c>
      <c r="GP3" t="e">
        <f>AND(OUTPUT!#REF!,"AAAAAHf5r8U=")</f>
        <v>#REF!</v>
      </c>
      <c r="GQ3" t="e">
        <f>AND(OUTPUT!#REF!,"AAAAAHf5r8Y=")</f>
        <v>#REF!</v>
      </c>
      <c r="GR3">
        <f>IF(OUTPUT!20:20,"AAAAAHf5r8c=",0)</f>
        <v>0</v>
      </c>
      <c r="GS3" t="e">
        <f>AND(OUTPUT!C23,"AAAAAHf5r8g=")</f>
        <v>#VALUE!</v>
      </c>
      <c r="GT3" t="e">
        <f>AND(OUTPUT!D23,"AAAAAHf5r8k=")</f>
        <v>#VALUE!</v>
      </c>
      <c r="GU3" t="e">
        <f>AND(OUTPUT!E23,"AAAAAHf5r8o=")</f>
        <v>#VALUE!</v>
      </c>
      <c r="GV3" t="e">
        <f>AND(OUTPUT!F23,"AAAAAHf5r8s=")</f>
        <v>#VALUE!</v>
      </c>
      <c r="GW3" t="e">
        <f>AND(OUTPUT!G23,"AAAAAHf5r8w=")</f>
        <v>#VALUE!</v>
      </c>
      <c r="GX3" t="e">
        <f>AND(OUTPUT!I20,"AAAAAHf5r80=")</f>
        <v>#VALUE!</v>
      </c>
      <c r="GY3" t="e">
        <f>AND(OUTPUT!#REF!,"AAAAAHf5r84=")</f>
        <v>#REF!</v>
      </c>
      <c r="GZ3" t="e">
        <f>AND(OUTPUT!#REF!,"AAAAAHf5r88=")</f>
        <v>#REF!</v>
      </c>
      <c r="HA3" t="e">
        <f>AND(OUTPUT!#REF!,"AAAAAHf5r9A=")</f>
        <v>#REF!</v>
      </c>
      <c r="HB3" t="e">
        <f>AND(OUTPUT!#REF!,"AAAAAHf5r9E=")</f>
        <v>#REF!</v>
      </c>
      <c r="HC3" t="e">
        <f>AND(OUTPUT!#REF!,"AAAAAHf5r9I=")</f>
        <v>#REF!</v>
      </c>
      <c r="HD3" t="e">
        <f>AND(OUTPUT!#REF!,"AAAAAHf5r9M=")</f>
        <v>#REF!</v>
      </c>
      <c r="HE3" t="e">
        <f>AND(OUTPUT!#REF!,"AAAAAHf5r9Q=")</f>
        <v>#REF!</v>
      </c>
      <c r="HF3">
        <f>IF(OUTPUT!21:21,"AAAAAHf5r9U=",0)</f>
        <v>0</v>
      </c>
      <c r="HG3" t="e">
        <f>AND(OUTPUT!C24,"AAAAAHf5r9Y=")</f>
        <v>#VALUE!</v>
      </c>
      <c r="HH3" t="e">
        <f>AND(OUTPUT!D24,"AAAAAHf5r9c=")</f>
        <v>#VALUE!</v>
      </c>
      <c r="HI3" t="e">
        <f>AND(OUTPUT!E24,"AAAAAHf5r9g=")</f>
        <v>#VALUE!</v>
      </c>
      <c r="HJ3" t="e">
        <f>AND(OUTPUT!F24,"AAAAAHf5r9k=")</f>
        <v>#VALUE!</v>
      </c>
      <c r="HK3" t="e">
        <f>AND(OUTPUT!G24,"AAAAAHf5r9o=")</f>
        <v>#VALUE!</v>
      </c>
      <c r="HL3" t="e">
        <f>AND(OUTPUT!I21,"AAAAAHf5r9s=")</f>
        <v>#VALUE!</v>
      </c>
      <c r="HM3" t="e">
        <f>AND(OUTPUT!#REF!,"AAAAAHf5r9w=")</f>
        <v>#REF!</v>
      </c>
      <c r="HN3" t="e">
        <f>AND(OUTPUT!#REF!,"AAAAAHf5r90=")</f>
        <v>#REF!</v>
      </c>
      <c r="HO3" t="e">
        <f>AND(OUTPUT!#REF!,"AAAAAHf5r94=")</f>
        <v>#REF!</v>
      </c>
      <c r="HP3" t="e">
        <f>AND(OUTPUT!#REF!,"AAAAAHf5r98=")</f>
        <v>#REF!</v>
      </c>
      <c r="HQ3" t="e">
        <f>AND(OUTPUT!#REF!,"AAAAAHf5r+A=")</f>
        <v>#REF!</v>
      </c>
      <c r="HR3" t="e">
        <f>AND(OUTPUT!#REF!,"AAAAAHf5r+E=")</f>
        <v>#REF!</v>
      </c>
      <c r="HS3" t="e">
        <f>AND(OUTPUT!#REF!,"AAAAAHf5r+I=")</f>
        <v>#REF!</v>
      </c>
      <c r="HT3">
        <f>IF(OUTPUT!22:22,"AAAAAHf5r+M=",0)</f>
        <v>0</v>
      </c>
      <c r="HU3" t="e">
        <f>AND(OUTPUT!C25,"AAAAAHf5r+Q=")</f>
        <v>#VALUE!</v>
      </c>
      <c r="HV3" t="e">
        <f>AND(OUTPUT!D25,"AAAAAHf5r+U=")</f>
        <v>#VALUE!</v>
      </c>
      <c r="HW3" t="e">
        <f>AND(OUTPUT!E25,"AAAAAHf5r+Y=")</f>
        <v>#VALUE!</v>
      </c>
      <c r="HX3" t="e">
        <f>AND(OUTPUT!F25,"AAAAAHf5r+c=")</f>
        <v>#VALUE!</v>
      </c>
      <c r="HY3" t="e">
        <f>AND(OUTPUT!G25,"AAAAAHf5r+g=")</f>
        <v>#VALUE!</v>
      </c>
      <c r="HZ3" t="e">
        <f>AND(OUTPUT!I22,"AAAAAHf5r+k=")</f>
        <v>#VALUE!</v>
      </c>
      <c r="IA3" t="e">
        <f>AND(OUTPUT!#REF!,"AAAAAHf5r+o=")</f>
        <v>#REF!</v>
      </c>
      <c r="IB3" t="e">
        <f>AND(OUTPUT!#REF!,"AAAAAHf5r+s=")</f>
        <v>#REF!</v>
      </c>
      <c r="IC3" t="e">
        <f>AND(OUTPUT!#REF!,"AAAAAHf5r+w=")</f>
        <v>#REF!</v>
      </c>
      <c r="ID3" t="e">
        <f>AND(OUTPUT!#REF!,"AAAAAHf5r+0=")</f>
        <v>#REF!</v>
      </c>
      <c r="IE3" t="e">
        <f>AND(OUTPUT!#REF!,"AAAAAHf5r+4=")</f>
        <v>#REF!</v>
      </c>
      <c r="IF3" t="e">
        <f>AND(OUTPUT!#REF!,"AAAAAHf5r+8=")</f>
        <v>#REF!</v>
      </c>
      <c r="IG3" t="e">
        <f>AND(OUTPUT!#REF!,"AAAAAHf5r/A=")</f>
        <v>#REF!</v>
      </c>
      <c r="IH3">
        <f>IF(OUTPUT!23:23,"AAAAAHf5r/E=",0)</f>
        <v>0</v>
      </c>
      <c r="II3" t="e">
        <f>AND(OUTPUT!C26,"AAAAAHf5r/I=")</f>
        <v>#VALUE!</v>
      </c>
      <c r="IJ3" t="e">
        <f>AND(OUTPUT!D26,"AAAAAHf5r/M=")</f>
        <v>#VALUE!</v>
      </c>
      <c r="IK3" t="e">
        <f>AND(OUTPUT!E26,"AAAAAHf5r/Q=")</f>
        <v>#VALUE!</v>
      </c>
      <c r="IL3" t="e">
        <f>AND(OUTPUT!F26,"AAAAAHf5r/U=")</f>
        <v>#VALUE!</v>
      </c>
      <c r="IM3" t="e">
        <f>AND(OUTPUT!G26,"AAAAAHf5r/Y=")</f>
        <v>#VALUE!</v>
      </c>
      <c r="IN3" t="e">
        <f>AND(OUTPUT!I23,"AAAAAHf5r/c=")</f>
        <v>#VALUE!</v>
      </c>
      <c r="IO3" t="e">
        <f>AND(OUTPUT!#REF!,"AAAAAHf5r/g=")</f>
        <v>#REF!</v>
      </c>
      <c r="IP3" t="e">
        <f>AND(OUTPUT!#REF!,"AAAAAHf5r/k=")</f>
        <v>#REF!</v>
      </c>
      <c r="IQ3" t="e">
        <f>AND(OUTPUT!#REF!,"AAAAAHf5r/o=")</f>
        <v>#REF!</v>
      </c>
      <c r="IR3" t="e">
        <f>AND(OUTPUT!#REF!,"AAAAAHf5r/s=")</f>
        <v>#REF!</v>
      </c>
      <c r="IS3" t="e">
        <f>AND(OUTPUT!#REF!,"AAAAAHf5r/w=")</f>
        <v>#REF!</v>
      </c>
      <c r="IT3" t="e">
        <f>AND(OUTPUT!#REF!,"AAAAAHf5r/0=")</f>
        <v>#REF!</v>
      </c>
      <c r="IU3" t="e">
        <f>AND(OUTPUT!#REF!,"AAAAAHf5r/4=")</f>
        <v>#REF!</v>
      </c>
      <c r="IV3">
        <f>IF(OUTPUT!24:24,"AAAAAHf5r/8=",0)</f>
        <v>0</v>
      </c>
    </row>
    <row r="4" spans="1:256" x14ac:dyDescent="0.2">
      <c r="A4" t="e">
        <f>AND(OUTPUT!C27,"AAAAAF9X7wA=")</f>
        <v>#VALUE!</v>
      </c>
      <c r="B4" t="e">
        <f>AND(OUTPUT!D27,"AAAAAF9X7wE=")</f>
        <v>#VALUE!</v>
      </c>
      <c r="C4" t="e">
        <f>AND(OUTPUT!E27,"AAAAAF9X7wI=")</f>
        <v>#VALUE!</v>
      </c>
      <c r="D4" t="e">
        <f>AND(OUTPUT!F27,"AAAAAF9X7wM=")</f>
        <v>#VALUE!</v>
      </c>
      <c r="E4" t="e">
        <f>AND(OUTPUT!G27,"AAAAAF9X7wQ=")</f>
        <v>#VALUE!</v>
      </c>
      <c r="F4" t="e">
        <f>AND(OUTPUT!I24,"AAAAAF9X7wU=")</f>
        <v>#VALUE!</v>
      </c>
      <c r="G4" t="e">
        <f>AND(OUTPUT!#REF!,"AAAAAF9X7wY=")</f>
        <v>#REF!</v>
      </c>
      <c r="H4" t="e">
        <f>AND(OUTPUT!#REF!,"AAAAAF9X7wc=")</f>
        <v>#REF!</v>
      </c>
      <c r="I4" t="e">
        <f>AND(OUTPUT!#REF!,"AAAAAF9X7wg=")</f>
        <v>#REF!</v>
      </c>
      <c r="J4" t="e">
        <f>AND(OUTPUT!#REF!,"AAAAAF9X7wk=")</f>
        <v>#REF!</v>
      </c>
      <c r="K4" t="e">
        <f>AND(OUTPUT!#REF!,"AAAAAF9X7wo=")</f>
        <v>#REF!</v>
      </c>
      <c r="L4" t="e">
        <f>AND(OUTPUT!#REF!,"AAAAAF9X7ws=")</f>
        <v>#REF!</v>
      </c>
      <c r="M4" t="e">
        <f>AND(OUTPUT!#REF!,"AAAAAF9X7ww=")</f>
        <v>#REF!</v>
      </c>
      <c r="N4">
        <f>IF(OUTPUT!25:25,"AAAAAF9X7w0=",0)</f>
        <v>0</v>
      </c>
      <c r="O4" t="e">
        <f>AND(OUTPUT!C28,"AAAAAF9X7w4=")</f>
        <v>#VALUE!</v>
      </c>
      <c r="P4" t="e">
        <f>AND(OUTPUT!D28,"AAAAAF9X7w8=")</f>
        <v>#VALUE!</v>
      </c>
      <c r="Q4" t="e">
        <f>AND(OUTPUT!E28,"AAAAAF9X7xA=")</f>
        <v>#VALUE!</v>
      </c>
      <c r="R4" t="e">
        <f>AND(OUTPUT!F28,"AAAAAF9X7xE=")</f>
        <v>#VALUE!</v>
      </c>
      <c r="S4" t="e">
        <f>AND(OUTPUT!G28,"AAAAAF9X7xI=")</f>
        <v>#VALUE!</v>
      </c>
      <c r="T4" t="e">
        <f>AND(OUTPUT!I25,"AAAAAF9X7xM=")</f>
        <v>#VALUE!</v>
      </c>
      <c r="U4" t="e">
        <f>AND(OUTPUT!#REF!,"AAAAAF9X7xQ=")</f>
        <v>#REF!</v>
      </c>
      <c r="V4" t="e">
        <f>AND(OUTPUT!#REF!,"AAAAAF9X7xU=")</f>
        <v>#REF!</v>
      </c>
      <c r="W4" t="e">
        <f>AND(OUTPUT!#REF!,"AAAAAF9X7xY=")</f>
        <v>#REF!</v>
      </c>
      <c r="X4" t="e">
        <f>AND(OUTPUT!#REF!,"AAAAAF9X7xc=")</f>
        <v>#REF!</v>
      </c>
      <c r="Y4" t="e">
        <f>AND(OUTPUT!#REF!,"AAAAAF9X7xg=")</f>
        <v>#REF!</v>
      </c>
      <c r="Z4" t="e">
        <f>AND(OUTPUT!#REF!,"AAAAAF9X7xk=")</f>
        <v>#REF!</v>
      </c>
      <c r="AA4" t="e">
        <f>AND(OUTPUT!#REF!,"AAAAAF9X7xo=")</f>
        <v>#REF!</v>
      </c>
      <c r="AB4">
        <f>IF(OUTPUT!26:26,"AAAAAF9X7xs=",0)</f>
        <v>0</v>
      </c>
      <c r="AC4" t="e">
        <f>AND(OUTPUT!C29,"AAAAAF9X7xw=")</f>
        <v>#VALUE!</v>
      </c>
      <c r="AD4" t="e">
        <f>AND(OUTPUT!D29,"AAAAAF9X7x0=")</f>
        <v>#VALUE!</v>
      </c>
      <c r="AE4" t="e">
        <f>AND(OUTPUT!E29,"AAAAAF9X7x4=")</f>
        <v>#VALUE!</v>
      </c>
      <c r="AF4" t="e">
        <f>AND(OUTPUT!F29,"AAAAAF9X7x8=")</f>
        <v>#VALUE!</v>
      </c>
      <c r="AG4" t="e">
        <f>AND(OUTPUT!G29,"AAAAAF9X7yA=")</f>
        <v>#VALUE!</v>
      </c>
      <c r="AH4" t="e">
        <f>AND(OUTPUT!I26,"AAAAAF9X7yE=")</f>
        <v>#VALUE!</v>
      </c>
      <c r="AI4" t="e">
        <f>AND(OUTPUT!#REF!,"AAAAAF9X7yI=")</f>
        <v>#REF!</v>
      </c>
      <c r="AJ4" t="e">
        <f>AND(OUTPUT!#REF!,"AAAAAF9X7yM=")</f>
        <v>#REF!</v>
      </c>
      <c r="AK4" t="e">
        <f>AND(OUTPUT!#REF!,"AAAAAF9X7yQ=")</f>
        <v>#REF!</v>
      </c>
      <c r="AL4" t="e">
        <f>AND(OUTPUT!#REF!,"AAAAAF9X7yU=")</f>
        <v>#REF!</v>
      </c>
      <c r="AM4" t="e">
        <f>AND(OUTPUT!#REF!,"AAAAAF9X7yY=")</f>
        <v>#REF!</v>
      </c>
      <c r="AN4" t="e">
        <f>AND(OUTPUT!#REF!,"AAAAAF9X7yc=")</f>
        <v>#REF!</v>
      </c>
      <c r="AO4" t="e">
        <f>AND(OUTPUT!#REF!,"AAAAAF9X7yg=")</f>
        <v>#REF!</v>
      </c>
      <c r="AP4">
        <f>IF(OUTPUT!27:27,"AAAAAF9X7yk=",0)</f>
        <v>0</v>
      </c>
      <c r="AQ4" t="e">
        <f>AND(OUTPUT!C30,"AAAAAF9X7yo=")</f>
        <v>#VALUE!</v>
      </c>
      <c r="AR4" t="e">
        <f>AND(OUTPUT!D30,"AAAAAF9X7ys=")</f>
        <v>#VALUE!</v>
      </c>
      <c r="AS4" t="e">
        <f>AND(OUTPUT!E30,"AAAAAF9X7yw=")</f>
        <v>#VALUE!</v>
      </c>
      <c r="AT4" t="e">
        <f>AND(OUTPUT!F30,"AAAAAF9X7y0=")</f>
        <v>#VALUE!</v>
      </c>
      <c r="AU4" t="e">
        <f>AND(OUTPUT!G30,"AAAAAF9X7y4=")</f>
        <v>#VALUE!</v>
      </c>
      <c r="AV4" t="e">
        <f>AND(OUTPUT!I27,"AAAAAF9X7y8=")</f>
        <v>#VALUE!</v>
      </c>
      <c r="AW4" t="e">
        <f>AND(OUTPUT!#REF!,"AAAAAF9X7zA=")</f>
        <v>#REF!</v>
      </c>
      <c r="AX4" t="e">
        <f>AND(OUTPUT!#REF!,"AAAAAF9X7zE=")</f>
        <v>#REF!</v>
      </c>
      <c r="AY4" t="e">
        <f>AND(OUTPUT!#REF!,"AAAAAF9X7zI=")</f>
        <v>#REF!</v>
      </c>
      <c r="AZ4" t="e">
        <f>AND(OUTPUT!#REF!,"AAAAAF9X7zM=")</f>
        <v>#REF!</v>
      </c>
      <c r="BA4" t="e">
        <f>AND(OUTPUT!#REF!,"AAAAAF9X7zQ=")</f>
        <v>#REF!</v>
      </c>
      <c r="BB4" t="e">
        <f>AND(OUTPUT!#REF!,"AAAAAF9X7zU=")</f>
        <v>#REF!</v>
      </c>
      <c r="BC4" t="e">
        <f>AND(OUTPUT!#REF!,"AAAAAF9X7zY=")</f>
        <v>#REF!</v>
      </c>
      <c r="BD4">
        <f>IF(OUTPUT!28:28,"AAAAAF9X7zc=",0)</f>
        <v>0</v>
      </c>
      <c r="BE4" t="e">
        <f>AND(OUTPUT!C31,"AAAAAF9X7zg=")</f>
        <v>#VALUE!</v>
      </c>
      <c r="BF4" t="e">
        <f>AND(OUTPUT!D31,"AAAAAF9X7zk=")</f>
        <v>#VALUE!</v>
      </c>
      <c r="BG4" t="e">
        <f>AND(OUTPUT!E31,"AAAAAF9X7zo=")</f>
        <v>#VALUE!</v>
      </c>
      <c r="BH4" t="e">
        <f>AND(OUTPUT!F31,"AAAAAF9X7zs=")</f>
        <v>#VALUE!</v>
      </c>
      <c r="BI4" t="e">
        <f>AND(OUTPUT!G31,"AAAAAF9X7zw=")</f>
        <v>#VALUE!</v>
      </c>
      <c r="BJ4" t="e">
        <f>AND(OUTPUT!I28,"AAAAAF9X7z0=")</f>
        <v>#VALUE!</v>
      </c>
      <c r="BK4" t="e">
        <f>AND(OUTPUT!#REF!,"AAAAAF9X7z4=")</f>
        <v>#REF!</v>
      </c>
      <c r="BL4" t="e">
        <f>AND(OUTPUT!#REF!,"AAAAAF9X7z8=")</f>
        <v>#REF!</v>
      </c>
      <c r="BM4" t="e">
        <f>AND(OUTPUT!#REF!,"AAAAAF9X70A=")</f>
        <v>#REF!</v>
      </c>
      <c r="BN4" t="e">
        <f>AND(OUTPUT!#REF!,"AAAAAF9X70E=")</f>
        <v>#REF!</v>
      </c>
      <c r="BO4" t="e">
        <f>AND(OUTPUT!#REF!,"AAAAAF9X70I=")</f>
        <v>#REF!</v>
      </c>
      <c r="BP4" t="e">
        <f>AND(OUTPUT!#REF!,"AAAAAF9X70M=")</f>
        <v>#REF!</v>
      </c>
      <c r="BQ4" t="e">
        <f>AND(OUTPUT!#REF!,"AAAAAF9X70Q=")</f>
        <v>#REF!</v>
      </c>
      <c r="BR4">
        <f>IF(OUTPUT!29:29,"AAAAAF9X70U=",0)</f>
        <v>0</v>
      </c>
      <c r="BS4" t="e">
        <f>AND(OUTPUT!C32,"AAAAAF9X70Y=")</f>
        <v>#VALUE!</v>
      </c>
      <c r="BT4" t="e">
        <f>AND(OUTPUT!D32,"AAAAAF9X70c=")</f>
        <v>#VALUE!</v>
      </c>
      <c r="BU4" t="e">
        <f>AND(OUTPUT!E32,"AAAAAF9X70g=")</f>
        <v>#VALUE!</v>
      </c>
      <c r="BV4" t="e">
        <f>AND(OUTPUT!F32,"AAAAAF9X70k=")</f>
        <v>#VALUE!</v>
      </c>
      <c r="BW4" t="e">
        <f>AND(OUTPUT!G32,"AAAAAF9X70o=")</f>
        <v>#VALUE!</v>
      </c>
      <c r="BX4" t="e">
        <f>AND(OUTPUT!I29,"AAAAAF9X70s=")</f>
        <v>#VALUE!</v>
      </c>
      <c r="BY4" t="e">
        <f>AND(OUTPUT!#REF!,"AAAAAF9X70w=")</f>
        <v>#REF!</v>
      </c>
      <c r="BZ4" t="e">
        <f>AND(OUTPUT!#REF!,"AAAAAF9X700=")</f>
        <v>#REF!</v>
      </c>
      <c r="CA4" t="e">
        <f>AND(OUTPUT!#REF!,"AAAAAF9X704=")</f>
        <v>#REF!</v>
      </c>
      <c r="CB4" t="e">
        <f>AND(OUTPUT!#REF!,"AAAAAF9X708=")</f>
        <v>#REF!</v>
      </c>
      <c r="CC4" t="e">
        <f>AND(OUTPUT!#REF!,"AAAAAF9X71A=")</f>
        <v>#REF!</v>
      </c>
      <c r="CD4" t="e">
        <f>AND(OUTPUT!#REF!,"AAAAAF9X71E=")</f>
        <v>#REF!</v>
      </c>
      <c r="CE4" t="e">
        <f>AND(OUTPUT!#REF!,"AAAAAF9X71I=")</f>
        <v>#REF!</v>
      </c>
      <c r="CF4">
        <f>IF(OUTPUT!30:30,"AAAAAF9X71M=",0)</f>
        <v>0</v>
      </c>
      <c r="CG4" t="e">
        <f>AND(OUTPUT!C33,"AAAAAF9X71Q=")</f>
        <v>#VALUE!</v>
      </c>
      <c r="CH4" t="e">
        <f>AND(OUTPUT!D33,"AAAAAF9X71U=")</f>
        <v>#VALUE!</v>
      </c>
      <c r="CI4" t="e">
        <f>AND(OUTPUT!E33,"AAAAAF9X71Y=")</f>
        <v>#VALUE!</v>
      </c>
      <c r="CJ4" t="e">
        <f>AND(OUTPUT!F33,"AAAAAF9X71c=")</f>
        <v>#VALUE!</v>
      </c>
      <c r="CK4" t="e">
        <f>AND(OUTPUT!G33,"AAAAAF9X71g=")</f>
        <v>#VALUE!</v>
      </c>
      <c r="CL4" t="e">
        <f>AND(OUTPUT!I30,"AAAAAF9X71k=")</f>
        <v>#VALUE!</v>
      </c>
      <c r="CM4" t="e">
        <f>AND(OUTPUT!#REF!,"AAAAAF9X71o=")</f>
        <v>#REF!</v>
      </c>
      <c r="CN4" t="e">
        <f>AND(OUTPUT!#REF!,"AAAAAF9X71s=")</f>
        <v>#REF!</v>
      </c>
      <c r="CO4" t="e">
        <f>AND(OUTPUT!#REF!,"AAAAAF9X71w=")</f>
        <v>#REF!</v>
      </c>
      <c r="CP4" t="e">
        <f>AND(OUTPUT!#REF!,"AAAAAF9X710=")</f>
        <v>#REF!</v>
      </c>
      <c r="CQ4" t="e">
        <f>AND(OUTPUT!#REF!,"AAAAAF9X714=")</f>
        <v>#REF!</v>
      </c>
      <c r="CR4" t="e">
        <f>AND(OUTPUT!#REF!,"AAAAAF9X718=")</f>
        <v>#REF!</v>
      </c>
      <c r="CS4" t="e">
        <f>AND(OUTPUT!#REF!,"AAAAAF9X72A=")</f>
        <v>#REF!</v>
      </c>
      <c r="CT4">
        <f>IF(OUTPUT!31:31,"AAAAAF9X72E=",0)</f>
        <v>0</v>
      </c>
      <c r="CU4" t="e">
        <f>AND(OUTPUT!C34,"AAAAAF9X72I=")</f>
        <v>#VALUE!</v>
      </c>
      <c r="CV4" t="e">
        <f>AND(OUTPUT!D34,"AAAAAF9X72M=")</f>
        <v>#VALUE!</v>
      </c>
      <c r="CW4" t="e">
        <f>AND(OUTPUT!E34,"AAAAAF9X72Q=")</f>
        <v>#VALUE!</v>
      </c>
      <c r="CX4" t="e">
        <f>AND(OUTPUT!F34,"AAAAAF9X72U=")</f>
        <v>#VALUE!</v>
      </c>
      <c r="CY4" t="e">
        <f>AND(OUTPUT!G34,"AAAAAF9X72Y=")</f>
        <v>#VALUE!</v>
      </c>
      <c r="CZ4" t="e">
        <f>AND(OUTPUT!I31,"AAAAAF9X72c=")</f>
        <v>#VALUE!</v>
      </c>
      <c r="DA4" t="e">
        <f>AND(OUTPUT!#REF!,"AAAAAF9X72g=")</f>
        <v>#REF!</v>
      </c>
      <c r="DB4" t="e">
        <f>AND(OUTPUT!#REF!,"AAAAAF9X72k=")</f>
        <v>#REF!</v>
      </c>
      <c r="DC4" t="e">
        <f>AND(OUTPUT!#REF!,"AAAAAF9X72o=")</f>
        <v>#REF!</v>
      </c>
      <c r="DD4" t="e">
        <f>AND(OUTPUT!#REF!,"AAAAAF9X72s=")</f>
        <v>#REF!</v>
      </c>
      <c r="DE4" t="e">
        <f>AND(OUTPUT!#REF!,"AAAAAF9X72w=")</f>
        <v>#REF!</v>
      </c>
      <c r="DF4" t="e">
        <f>AND(OUTPUT!#REF!,"AAAAAF9X720=")</f>
        <v>#REF!</v>
      </c>
      <c r="DG4" t="e">
        <f>AND(OUTPUT!#REF!,"AAAAAF9X724=")</f>
        <v>#REF!</v>
      </c>
      <c r="DH4">
        <f>IF(OUTPUT!32:32,"AAAAAF9X728=",0)</f>
        <v>0</v>
      </c>
      <c r="DI4" t="e">
        <f>AND(OUTPUT!C35,"AAAAAF9X73A=")</f>
        <v>#VALUE!</v>
      </c>
      <c r="DJ4" t="e">
        <f>AND(OUTPUT!D35,"AAAAAF9X73E=")</f>
        <v>#VALUE!</v>
      </c>
      <c r="DK4" t="e">
        <f>AND(OUTPUT!E35,"AAAAAF9X73I=")</f>
        <v>#VALUE!</v>
      </c>
      <c r="DL4" t="e">
        <f>AND(OUTPUT!F35,"AAAAAF9X73M=")</f>
        <v>#VALUE!</v>
      </c>
      <c r="DM4" t="e">
        <f>AND(OUTPUT!G35,"AAAAAF9X73Q=")</f>
        <v>#VALUE!</v>
      </c>
      <c r="DN4" t="e">
        <f>AND(OUTPUT!I32,"AAAAAF9X73U=")</f>
        <v>#VALUE!</v>
      </c>
      <c r="DO4" t="e">
        <f>AND(OUTPUT!#REF!,"AAAAAF9X73Y=")</f>
        <v>#REF!</v>
      </c>
      <c r="DP4" t="e">
        <f>AND(OUTPUT!#REF!,"AAAAAF9X73c=")</f>
        <v>#REF!</v>
      </c>
      <c r="DQ4" t="e">
        <f>AND(OUTPUT!#REF!,"AAAAAF9X73g=")</f>
        <v>#REF!</v>
      </c>
      <c r="DR4" t="e">
        <f>AND(OUTPUT!#REF!,"AAAAAF9X73k=")</f>
        <v>#REF!</v>
      </c>
      <c r="DS4" t="e">
        <f>AND(OUTPUT!#REF!,"AAAAAF9X73o=")</f>
        <v>#REF!</v>
      </c>
      <c r="DT4" t="e">
        <f>AND(OUTPUT!#REF!,"AAAAAF9X73s=")</f>
        <v>#REF!</v>
      </c>
      <c r="DU4" t="e">
        <f>AND(OUTPUT!#REF!,"AAAAAF9X73w=")</f>
        <v>#REF!</v>
      </c>
      <c r="DV4">
        <f>IF(OUTPUT!33:33,"AAAAAF9X730=",0)</f>
        <v>0</v>
      </c>
      <c r="DW4" t="e">
        <f>AND(OUTPUT!C36,"AAAAAF9X734=")</f>
        <v>#VALUE!</v>
      </c>
      <c r="DX4" t="e">
        <f>AND(OUTPUT!D36,"AAAAAF9X738=")</f>
        <v>#VALUE!</v>
      </c>
      <c r="DY4" t="e">
        <f>AND(OUTPUT!E36,"AAAAAF9X74A=")</f>
        <v>#VALUE!</v>
      </c>
      <c r="DZ4" t="e">
        <f>AND(OUTPUT!F36,"AAAAAF9X74E=")</f>
        <v>#VALUE!</v>
      </c>
      <c r="EA4" t="e">
        <f>AND(OUTPUT!G36,"AAAAAF9X74I=")</f>
        <v>#VALUE!</v>
      </c>
      <c r="EB4" t="e">
        <f>AND(OUTPUT!I33,"AAAAAF9X74M=")</f>
        <v>#VALUE!</v>
      </c>
      <c r="EC4" t="e">
        <f>AND(OUTPUT!#REF!,"AAAAAF9X74Q=")</f>
        <v>#REF!</v>
      </c>
      <c r="ED4" t="e">
        <f>AND(OUTPUT!#REF!,"AAAAAF9X74U=")</f>
        <v>#REF!</v>
      </c>
      <c r="EE4" t="e">
        <f>AND(OUTPUT!#REF!,"AAAAAF9X74Y=")</f>
        <v>#REF!</v>
      </c>
      <c r="EF4" t="e">
        <f>AND(OUTPUT!#REF!,"AAAAAF9X74c=")</f>
        <v>#REF!</v>
      </c>
      <c r="EG4" t="e">
        <f>AND(OUTPUT!#REF!,"AAAAAF9X74g=")</f>
        <v>#REF!</v>
      </c>
      <c r="EH4" t="e">
        <f>AND(OUTPUT!#REF!,"AAAAAF9X74k=")</f>
        <v>#REF!</v>
      </c>
      <c r="EI4" t="e">
        <f>AND(OUTPUT!#REF!,"AAAAAF9X74o=")</f>
        <v>#REF!</v>
      </c>
      <c r="EJ4">
        <f>IF(OUTPUT!34:34,"AAAAAF9X74s=",0)</f>
        <v>0</v>
      </c>
      <c r="EK4" t="e">
        <f>AND(OUTPUT!C37,"AAAAAF9X74w=")</f>
        <v>#VALUE!</v>
      </c>
      <c r="EL4" t="e">
        <f>AND(OUTPUT!D37,"AAAAAF9X740=")</f>
        <v>#VALUE!</v>
      </c>
      <c r="EM4" t="e">
        <f>AND(OUTPUT!E37,"AAAAAF9X744=")</f>
        <v>#VALUE!</v>
      </c>
      <c r="EN4" t="e">
        <f>AND(OUTPUT!F37,"AAAAAF9X748=")</f>
        <v>#VALUE!</v>
      </c>
      <c r="EO4" t="e">
        <f>AND(OUTPUT!G37,"AAAAAF9X75A=")</f>
        <v>#VALUE!</v>
      </c>
      <c r="EP4" t="e">
        <f>AND(OUTPUT!I34,"AAAAAF9X75E=")</f>
        <v>#VALUE!</v>
      </c>
      <c r="EQ4" t="e">
        <f>AND(OUTPUT!#REF!,"AAAAAF9X75I=")</f>
        <v>#REF!</v>
      </c>
      <c r="ER4" t="e">
        <f>AND(OUTPUT!#REF!,"AAAAAF9X75M=")</f>
        <v>#REF!</v>
      </c>
      <c r="ES4" t="e">
        <f>AND(OUTPUT!#REF!,"AAAAAF9X75Q=")</f>
        <v>#REF!</v>
      </c>
      <c r="ET4" t="e">
        <f>AND(OUTPUT!#REF!,"AAAAAF9X75U=")</f>
        <v>#REF!</v>
      </c>
      <c r="EU4" t="e">
        <f>AND(OUTPUT!#REF!,"AAAAAF9X75Y=")</f>
        <v>#REF!</v>
      </c>
      <c r="EV4" t="e">
        <f>AND(OUTPUT!#REF!,"AAAAAF9X75c=")</f>
        <v>#REF!</v>
      </c>
      <c r="EW4" t="e">
        <f>AND(OUTPUT!#REF!,"AAAAAF9X75g=")</f>
        <v>#REF!</v>
      </c>
      <c r="EX4">
        <f>IF(OUTPUT!35:35,"AAAAAF9X75k=",0)</f>
        <v>0</v>
      </c>
      <c r="EY4" t="e">
        <f>AND(OUTPUT!C38,"AAAAAF9X75o=")</f>
        <v>#VALUE!</v>
      </c>
      <c r="EZ4" t="e">
        <f>AND(OUTPUT!D38,"AAAAAF9X75s=")</f>
        <v>#VALUE!</v>
      </c>
      <c r="FA4" t="e">
        <f>AND(OUTPUT!E38,"AAAAAF9X75w=")</f>
        <v>#VALUE!</v>
      </c>
      <c r="FB4" t="e">
        <f>AND(OUTPUT!F38,"AAAAAF9X750=")</f>
        <v>#VALUE!</v>
      </c>
      <c r="FC4" t="e">
        <f>AND(OUTPUT!G38,"AAAAAF9X754=")</f>
        <v>#VALUE!</v>
      </c>
      <c r="FD4" t="e">
        <f>AND(OUTPUT!I35,"AAAAAF9X758=")</f>
        <v>#VALUE!</v>
      </c>
      <c r="FE4" t="e">
        <f>AND(OUTPUT!#REF!,"AAAAAF9X76A=")</f>
        <v>#REF!</v>
      </c>
      <c r="FF4" t="e">
        <f>AND(OUTPUT!#REF!,"AAAAAF9X76E=")</f>
        <v>#REF!</v>
      </c>
      <c r="FG4" t="e">
        <f>AND(OUTPUT!#REF!,"AAAAAF9X76I=")</f>
        <v>#REF!</v>
      </c>
      <c r="FH4" t="e">
        <f>AND(OUTPUT!#REF!,"AAAAAF9X76M=")</f>
        <v>#REF!</v>
      </c>
      <c r="FI4" t="e">
        <f>AND(OUTPUT!#REF!,"AAAAAF9X76Q=")</f>
        <v>#REF!</v>
      </c>
      <c r="FJ4" t="e">
        <f>AND(OUTPUT!#REF!,"AAAAAF9X76U=")</f>
        <v>#REF!</v>
      </c>
      <c r="FK4" t="e">
        <f>AND(OUTPUT!#REF!,"AAAAAF9X76Y=")</f>
        <v>#REF!</v>
      </c>
      <c r="FL4">
        <f>IF(OUTPUT!36:36,"AAAAAF9X76c=",0)</f>
        <v>0</v>
      </c>
      <c r="FM4" t="e">
        <f>AND(OUTPUT!C39,"AAAAAF9X76g=")</f>
        <v>#VALUE!</v>
      </c>
      <c r="FN4" t="e">
        <f>AND(OUTPUT!D39,"AAAAAF9X76k=")</f>
        <v>#VALUE!</v>
      </c>
      <c r="FO4" t="e">
        <f>AND(OUTPUT!E39,"AAAAAF9X76o=")</f>
        <v>#VALUE!</v>
      </c>
      <c r="FP4" t="e">
        <f>AND(OUTPUT!F39,"AAAAAF9X76s=")</f>
        <v>#VALUE!</v>
      </c>
      <c r="FQ4" t="e">
        <f>AND(OUTPUT!G39,"AAAAAF9X76w=")</f>
        <v>#VALUE!</v>
      </c>
      <c r="FR4" t="e">
        <f>AND(OUTPUT!I36,"AAAAAF9X760=")</f>
        <v>#VALUE!</v>
      </c>
      <c r="FS4" t="e">
        <f>AND(OUTPUT!#REF!,"AAAAAF9X764=")</f>
        <v>#REF!</v>
      </c>
      <c r="FT4" t="e">
        <f>AND(OUTPUT!#REF!,"AAAAAF9X768=")</f>
        <v>#REF!</v>
      </c>
      <c r="FU4" t="e">
        <f>AND(OUTPUT!#REF!,"AAAAAF9X77A=")</f>
        <v>#REF!</v>
      </c>
      <c r="FV4" t="e">
        <f>AND(OUTPUT!#REF!,"AAAAAF9X77E=")</f>
        <v>#REF!</v>
      </c>
      <c r="FW4" t="e">
        <f>AND(OUTPUT!#REF!,"AAAAAF9X77I=")</f>
        <v>#REF!</v>
      </c>
      <c r="FX4" t="e">
        <f>AND(OUTPUT!#REF!,"AAAAAF9X77M=")</f>
        <v>#REF!</v>
      </c>
      <c r="FY4" t="e">
        <f>AND(OUTPUT!#REF!,"AAAAAF9X77Q=")</f>
        <v>#REF!</v>
      </c>
      <c r="FZ4">
        <f>IF(OUTPUT!37:37,"AAAAAF9X77U=",0)</f>
        <v>0</v>
      </c>
      <c r="GA4" t="e">
        <f>AND(OUTPUT!C40,"AAAAAF9X77Y=")</f>
        <v>#VALUE!</v>
      </c>
      <c r="GB4" t="e">
        <f>AND(OUTPUT!D40,"AAAAAF9X77c=")</f>
        <v>#VALUE!</v>
      </c>
      <c r="GC4" t="e">
        <f>AND(OUTPUT!E40,"AAAAAF9X77g=")</f>
        <v>#VALUE!</v>
      </c>
      <c r="GD4" t="e">
        <f>AND(OUTPUT!F40,"AAAAAF9X77k=")</f>
        <v>#VALUE!</v>
      </c>
      <c r="GE4" t="e">
        <f>AND(OUTPUT!G40,"AAAAAF9X77o=")</f>
        <v>#VALUE!</v>
      </c>
      <c r="GF4" t="e">
        <f>AND(OUTPUT!I37,"AAAAAF9X77s=")</f>
        <v>#VALUE!</v>
      </c>
      <c r="GG4" t="e">
        <f>AND(OUTPUT!#REF!,"AAAAAF9X77w=")</f>
        <v>#REF!</v>
      </c>
      <c r="GH4" t="e">
        <f>AND(OUTPUT!#REF!,"AAAAAF9X770=")</f>
        <v>#REF!</v>
      </c>
      <c r="GI4" t="e">
        <f>AND(OUTPUT!#REF!,"AAAAAF9X774=")</f>
        <v>#REF!</v>
      </c>
      <c r="GJ4" t="e">
        <f>AND(OUTPUT!#REF!,"AAAAAF9X778=")</f>
        <v>#REF!</v>
      </c>
      <c r="GK4" t="e">
        <f>AND(OUTPUT!#REF!,"AAAAAF9X78A=")</f>
        <v>#REF!</v>
      </c>
      <c r="GL4" t="e">
        <f>AND(OUTPUT!#REF!,"AAAAAF9X78E=")</f>
        <v>#REF!</v>
      </c>
      <c r="GM4" t="e">
        <f>AND(OUTPUT!#REF!,"AAAAAF9X78I=")</f>
        <v>#REF!</v>
      </c>
      <c r="GN4">
        <f>IF(OUTPUT!38:38,"AAAAAF9X78M=",0)</f>
        <v>0</v>
      </c>
      <c r="GO4" t="e">
        <f>AND(OUTPUT!C41,"AAAAAF9X78Q=")</f>
        <v>#VALUE!</v>
      </c>
      <c r="GP4" t="e">
        <f>AND(OUTPUT!D41,"AAAAAF9X78U=")</f>
        <v>#VALUE!</v>
      </c>
      <c r="GQ4" t="e">
        <f>AND(OUTPUT!E41,"AAAAAF9X78Y=")</f>
        <v>#VALUE!</v>
      </c>
      <c r="GR4" t="e">
        <f>AND(OUTPUT!F41,"AAAAAF9X78c=")</f>
        <v>#VALUE!</v>
      </c>
      <c r="GS4" t="e">
        <f>AND(OUTPUT!G41,"AAAAAF9X78g=")</f>
        <v>#VALUE!</v>
      </c>
      <c r="GT4" t="e">
        <f>AND(OUTPUT!I38,"AAAAAF9X78k=")</f>
        <v>#VALUE!</v>
      </c>
      <c r="GU4" t="e">
        <f>AND(OUTPUT!#REF!,"AAAAAF9X78o=")</f>
        <v>#REF!</v>
      </c>
      <c r="GV4" t="e">
        <f>AND(OUTPUT!#REF!,"AAAAAF9X78s=")</f>
        <v>#REF!</v>
      </c>
      <c r="GW4" t="e">
        <f>AND(OUTPUT!#REF!,"AAAAAF9X78w=")</f>
        <v>#REF!</v>
      </c>
      <c r="GX4" t="e">
        <f>AND(OUTPUT!#REF!,"AAAAAF9X780=")</f>
        <v>#REF!</v>
      </c>
      <c r="GY4" t="e">
        <f>AND(OUTPUT!#REF!,"AAAAAF9X784=")</f>
        <v>#REF!</v>
      </c>
      <c r="GZ4" t="e">
        <f>AND(OUTPUT!#REF!,"AAAAAF9X788=")</f>
        <v>#REF!</v>
      </c>
      <c r="HA4" t="e">
        <f>AND(OUTPUT!#REF!,"AAAAAF9X79A=")</f>
        <v>#REF!</v>
      </c>
      <c r="HB4">
        <f>IF(OUTPUT!39:39,"AAAAAF9X79E=",0)</f>
        <v>0</v>
      </c>
      <c r="HC4" t="e">
        <f>AND(OUTPUT!C42,"AAAAAF9X79I=")</f>
        <v>#VALUE!</v>
      </c>
      <c r="HD4" t="e">
        <f>AND(OUTPUT!D42,"AAAAAF9X79M=")</f>
        <v>#VALUE!</v>
      </c>
      <c r="HE4" t="e">
        <f>AND(OUTPUT!E42,"AAAAAF9X79Q=")</f>
        <v>#VALUE!</v>
      </c>
      <c r="HF4" t="e">
        <f>AND(OUTPUT!F42,"AAAAAF9X79U=")</f>
        <v>#VALUE!</v>
      </c>
      <c r="HG4" t="e">
        <f>AND(OUTPUT!G42,"AAAAAF9X79Y=")</f>
        <v>#VALUE!</v>
      </c>
      <c r="HH4" t="e">
        <f>AND(OUTPUT!I39,"AAAAAF9X79c=")</f>
        <v>#VALUE!</v>
      </c>
      <c r="HI4" t="e">
        <f>AND(OUTPUT!#REF!,"AAAAAF9X79g=")</f>
        <v>#REF!</v>
      </c>
      <c r="HJ4" t="e">
        <f>AND(OUTPUT!#REF!,"AAAAAF9X79k=")</f>
        <v>#REF!</v>
      </c>
      <c r="HK4" t="e">
        <f>AND(OUTPUT!#REF!,"AAAAAF9X79o=")</f>
        <v>#REF!</v>
      </c>
      <c r="HL4" t="e">
        <f>AND(OUTPUT!#REF!,"AAAAAF9X79s=")</f>
        <v>#REF!</v>
      </c>
      <c r="HM4" t="e">
        <f>AND(OUTPUT!#REF!,"AAAAAF9X79w=")</f>
        <v>#REF!</v>
      </c>
      <c r="HN4" t="e">
        <f>AND(OUTPUT!#REF!,"AAAAAF9X790=")</f>
        <v>#REF!</v>
      </c>
      <c r="HO4" t="e">
        <f>AND(OUTPUT!#REF!,"AAAAAF9X794=")</f>
        <v>#REF!</v>
      </c>
      <c r="HP4">
        <f>IF(OUTPUT!40:40,"AAAAAF9X798=",0)</f>
        <v>0</v>
      </c>
      <c r="HQ4" t="e">
        <f>AND(OUTPUT!C43,"AAAAAF9X7+A=")</f>
        <v>#VALUE!</v>
      </c>
      <c r="HR4" t="e">
        <f>AND(OUTPUT!D43,"AAAAAF9X7+E=")</f>
        <v>#VALUE!</v>
      </c>
      <c r="HS4" t="e">
        <f>AND(OUTPUT!E43,"AAAAAF9X7+I=")</f>
        <v>#VALUE!</v>
      </c>
      <c r="HT4" t="e">
        <f>AND(OUTPUT!F43,"AAAAAF9X7+M=")</f>
        <v>#VALUE!</v>
      </c>
      <c r="HU4" t="e">
        <f>AND(OUTPUT!G43,"AAAAAF9X7+Q=")</f>
        <v>#VALUE!</v>
      </c>
      <c r="HV4" t="e">
        <f>AND(OUTPUT!I40,"AAAAAF9X7+U=")</f>
        <v>#VALUE!</v>
      </c>
      <c r="HW4" t="e">
        <f>AND(OUTPUT!#REF!,"AAAAAF9X7+Y=")</f>
        <v>#REF!</v>
      </c>
      <c r="HX4" t="e">
        <f>AND(OUTPUT!#REF!,"AAAAAF9X7+c=")</f>
        <v>#REF!</v>
      </c>
      <c r="HY4" t="e">
        <f>AND(OUTPUT!#REF!,"AAAAAF9X7+g=")</f>
        <v>#REF!</v>
      </c>
      <c r="HZ4" t="e">
        <f>AND(OUTPUT!#REF!,"AAAAAF9X7+k=")</f>
        <v>#REF!</v>
      </c>
      <c r="IA4" t="e">
        <f>AND(OUTPUT!#REF!,"AAAAAF9X7+o=")</f>
        <v>#REF!</v>
      </c>
      <c r="IB4" t="e">
        <f>AND(OUTPUT!#REF!,"AAAAAF9X7+s=")</f>
        <v>#REF!</v>
      </c>
      <c r="IC4" t="e">
        <f>AND(OUTPUT!#REF!,"AAAAAF9X7+w=")</f>
        <v>#REF!</v>
      </c>
      <c r="ID4">
        <f>IF(OUTPUT!41:41,"AAAAAF9X7+0=",0)</f>
        <v>0</v>
      </c>
      <c r="IE4" t="e">
        <f>AND(OUTPUT!C44,"AAAAAF9X7+4=")</f>
        <v>#VALUE!</v>
      </c>
      <c r="IF4" t="e">
        <f>AND(OUTPUT!D44,"AAAAAF9X7+8=")</f>
        <v>#VALUE!</v>
      </c>
      <c r="IG4" t="e">
        <f>AND(OUTPUT!E44,"AAAAAF9X7/A=")</f>
        <v>#VALUE!</v>
      </c>
      <c r="IH4" t="e">
        <f>AND(OUTPUT!F44,"AAAAAF9X7/E=")</f>
        <v>#VALUE!</v>
      </c>
      <c r="II4" t="e">
        <f>AND(OUTPUT!G44,"AAAAAF9X7/I=")</f>
        <v>#VALUE!</v>
      </c>
      <c r="IJ4" t="e">
        <f>AND(OUTPUT!I41,"AAAAAF9X7/M=")</f>
        <v>#VALUE!</v>
      </c>
      <c r="IK4" t="e">
        <f>AND(OUTPUT!#REF!,"AAAAAF9X7/Q=")</f>
        <v>#REF!</v>
      </c>
      <c r="IL4" t="e">
        <f>AND(OUTPUT!#REF!,"AAAAAF9X7/U=")</f>
        <v>#REF!</v>
      </c>
      <c r="IM4" t="e">
        <f>AND(OUTPUT!#REF!,"AAAAAF9X7/Y=")</f>
        <v>#REF!</v>
      </c>
      <c r="IN4" t="e">
        <f>AND(OUTPUT!#REF!,"AAAAAF9X7/c=")</f>
        <v>#REF!</v>
      </c>
      <c r="IO4" t="e">
        <f>AND(OUTPUT!#REF!,"AAAAAF9X7/g=")</f>
        <v>#REF!</v>
      </c>
      <c r="IP4" t="e">
        <f>AND(OUTPUT!#REF!,"AAAAAF9X7/k=")</f>
        <v>#REF!</v>
      </c>
      <c r="IQ4" t="e">
        <f>AND(OUTPUT!#REF!,"AAAAAF9X7/o=")</f>
        <v>#REF!</v>
      </c>
      <c r="IR4">
        <f>IF(OUTPUT!42:42,"AAAAAF9X7/s=",0)</f>
        <v>0</v>
      </c>
      <c r="IS4" t="e">
        <f>AND(OUTPUT!C45,"AAAAAF9X7/w=")</f>
        <v>#VALUE!</v>
      </c>
      <c r="IT4" t="e">
        <f>AND(OUTPUT!D45,"AAAAAF9X7/0=")</f>
        <v>#VALUE!</v>
      </c>
      <c r="IU4" t="e">
        <f>AND(OUTPUT!E45,"AAAAAF9X7/4=")</f>
        <v>#VALUE!</v>
      </c>
      <c r="IV4" t="e">
        <f>AND(OUTPUT!F45,"AAAAAF9X7/8=")</f>
        <v>#VALUE!</v>
      </c>
    </row>
    <row r="5" spans="1:256" x14ac:dyDescent="0.2">
      <c r="A5" t="e">
        <f>AND(OUTPUT!G45,"AAAAABffrQA=")</f>
        <v>#VALUE!</v>
      </c>
      <c r="B5" t="e">
        <f>AND(OUTPUT!I42,"AAAAABffrQE=")</f>
        <v>#VALUE!</v>
      </c>
      <c r="C5" t="e">
        <f>AND(OUTPUT!#REF!,"AAAAABffrQI=")</f>
        <v>#REF!</v>
      </c>
      <c r="D5" t="e">
        <f>AND(OUTPUT!#REF!,"AAAAABffrQM=")</f>
        <v>#REF!</v>
      </c>
      <c r="E5" t="e">
        <f>AND(OUTPUT!#REF!,"AAAAABffrQQ=")</f>
        <v>#REF!</v>
      </c>
      <c r="F5" t="e">
        <f>AND(OUTPUT!#REF!,"AAAAABffrQU=")</f>
        <v>#REF!</v>
      </c>
      <c r="G5" t="e">
        <f>AND(OUTPUT!#REF!,"AAAAABffrQY=")</f>
        <v>#REF!</v>
      </c>
      <c r="H5" t="e">
        <f>AND(OUTPUT!#REF!,"AAAAABffrQc=")</f>
        <v>#REF!</v>
      </c>
      <c r="I5" t="e">
        <f>AND(OUTPUT!#REF!,"AAAAABffrQg=")</f>
        <v>#REF!</v>
      </c>
      <c r="J5" t="e">
        <f>IF(OUTPUT!43:43,"AAAAABffrQk=",0)</f>
        <v>#REF!</v>
      </c>
      <c r="K5" t="e">
        <f>AND(OUTPUT!C46,"AAAAABffrQo=")</f>
        <v>#VALUE!</v>
      </c>
      <c r="L5" t="e">
        <f>AND(OUTPUT!D46,"AAAAABffrQs=")</f>
        <v>#VALUE!</v>
      </c>
      <c r="M5" t="e">
        <f>AND(OUTPUT!E46,"AAAAABffrQw=")</f>
        <v>#VALUE!</v>
      </c>
      <c r="N5" t="e">
        <f>AND(OUTPUT!F46,"AAAAABffrQ0=")</f>
        <v>#VALUE!</v>
      </c>
      <c r="O5" t="e">
        <f>AND(OUTPUT!G46,"AAAAABffrQ4=")</f>
        <v>#VALUE!</v>
      </c>
      <c r="P5" t="e">
        <f>AND(OUTPUT!I43,"AAAAABffrQ8=")</f>
        <v>#VALUE!</v>
      </c>
      <c r="Q5" t="e">
        <f>AND(OUTPUT!#REF!,"AAAAABffrRA=")</f>
        <v>#REF!</v>
      </c>
      <c r="R5" t="e">
        <f>AND(OUTPUT!#REF!,"AAAAABffrRE=")</f>
        <v>#REF!</v>
      </c>
      <c r="S5" t="e">
        <f>AND(OUTPUT!#REF!,"AAAAABffrRI=")</f>
        <v>#REF!</v>
      </c>
      <c r="T5" t="e">
        <f>AND(OUTPUT!#REF!,"AAAAABffrRM=")</f>
        <v>#REF!</v>
      </c>
      <c r="U5" t="e">
        <f>AND(OUTPUT!#REF!,"AAAAABffrRQ=")</f>
        <v>#REF!</v>
      </c>
      <c r="V5" t="e">
        <f>AND(OUTPUT!#REF!,"AAAAABffrRU=")</f>
        <v>#REF!</v>
      </c>
      <c r="W5" t="e">
        <f>AND(OUTPUT!#REF!,"AAAAABffrRY=")</f>
        <v>#REF!</v>
      </c>
      <c r="X5">
        <f>IF(OUTPUT!44:44,"AAAAABffrRc=",0)</f>
        <v>0</v>
      </c>
      <c r="Y5" t="e">
        <f>AND(OUTPUT!C47,"AAAAABffrRg=")</f>
        <v>#VALUE!</v>
      </c>
      <c r="Z5" t="e">
        <f>AND(OUTPUT!D47,"AAAAABffrRk=")</f>
        <v>#VALUE!</v>
      </c>
      <c r="AA5" t="e">
        <f>AND(OUTPUT!E47,"AAAAABffrRo=")</f>
        <v>#VALUE!</v>
      </c>
      <c r="AB5" t="e">
        <f>AND(OUTPUT!F47,"AAAAABffrRs=")</f>
        <v>#VALUE!</v>
      </c>
      <c r="AC5" t="e">
        <f>AND(OUTPUT!G47,"AAAAABffrRw=")</f>
        <v>#VALUE!</v>
      </c>
      <c r="AD5" t="e">
        <f>AND(OUTPUT!I44,"AAAAABffrR0=")</f>
        <v>#VALUE!</v>
      </c>
      <c r="AE5" t="e">
        <f>AND(OUTPUT!#REF!,"AAAAABffrR4=")</f>
        <v>#REF!</v>
      </c>
      <c r="AF5" t="e">
        <f>AND(OUTPUT!#REF!,"AAAAABffrR8=")</f>
        <v>#REF!</v>
      </c>
      <c r="AG5" t="e">
        <f>AND(OUTPUT!#REF!,"AAAAABffrSA=")</f>
        <v>#REF!</v>
      </c>
      <c r="AH5" t="e">
        <f>AND(OUTPUT!#REF!,"AAAAABffrSE=")</f>
        <v>#REF!</v>
      </c>
      <c r="AI5" t="e">
        <f>AND(OUTPUT!#REF!,"AAAAABffrSI=")</f>
        <v>#REF!</v>
      </c>
      <c r="AJ5" t="e">
        <f>AND(OUTPUT!#REF!,"AAAAABffrSM=")</f>
        <v>#REF!</v>
      </c>
      <c r="AK5" t="e">
        <f>AND(OUTPUT!#REF!,"AAAAABffrSQ=")</f>
        <v>#REF!</v>
      </c>
      <c r="AL5">
        <f>IF(OUTPUT!45:45,"AAAAABffrSU=",0)</f>
        <v>0</v>
      </c>
      <c r="AM5" t="e">
        <f>AND(OUTPUT!C48,"AAAAABffrSY=")</f>
        <v>#VALUE!</v>
      </c>
      <c r="AN5" t="e">
        <f>AND(OUTPUT!D48,"AAAAABffrSc=")</f>
        <v>#VALUE!</v>
      </c>
      <c r="AO5" t="e">
        <f>AND(OUTPUT!E48,"AAAAABffrSg=")</f>
        <v>#VALUE!</v>
      </c>
      <c r="AP5" t="e">
        <f>AND(OUTPUT!F48,"AAAAABffrSk=")</f>
        <v>#VALUE!</v>
      </c>
      <c r="AQ5" t="e">
        <f>AND(OUTPUT!G48,"AAAAABffrSo=")</f>
        <v>#VALUE!</v>
      </c>
      <c r="AR5" t="e">
        <f>AND(OUTPUT!I45,"AAAAABffrSs=")</f>
        <v>#VALUE!</v>
      </c>
      <c r="AS5" t="e">
        <f>AND(OUTPUT!#REF!,"AAAAABffrSw=")</f>
        <v>#REF!</v>
      </c>
      <c r="AT5" t="e">
        <f>AND(OUTPUT!#REF!,"AAAAABffrS0=")</f>
        <v>#REF!</v>
      </c>
      <c r="AU5" t="e">
        <f>AND(OUTPUT!#REF!,"AAAAABffrS4=")</f>
        <v>#REF!</v>
      </c>
      <c r="AV5" t="e">
        <f>AND(OUTPUT!#REF!,"AAAAABffrS8=")</f>
        <v>#REF!</v>
      </c>
      <c r="AW5" t="e">
        <f>AND(OUTPUT!#REF!,"AAAAABffrTA=")</f>
        <v>#REF!</v>
      </c>
      <c r="AX5" t="e">
        <f>AND(OUTPUT!#REF!,"AAAAABffrTE=")</f>
        <v>#REF!</v>
      </c>
      <c r="AY5" t="e">
        <f>AND(OUTPUT!#REF!,"AAAAABffrTI=")</f>
        <v>#REF!</v>
      </c>
      <c r="AZ5">
        <f>IF(OUTPUT!46:46,"AAAAABffrTM=",0)</f>
        <v>0</v>
      </c>
      <c r="BA5" t="e">
        <f>AND(OUTPUT!C49,"AAAAABffrTQ=")</f>
        <v>#VALUE!</v>
      </c>
      <c r="BB5" t="e">
        <f>AND(OUTPUT!D49,"AAAAABffrTU=")</f>
        <v>#VALUE!</v>
      </c>
      <c r="BC5" t="e">
        <f>AND(OUTPUT!E49,"AAAAABffrTY=")</f>
        <v>#VALUE!</v>
      </c>
      <c r="BD5" t="e">
        <f>AND(OUTPUT!F49,"AAAAABffrTc=")</f>
        <v>#VALUE!</v>
      </c>
      <c r="BE5" t="e">
        <f>AND(OUTPUT!G49,"AAAAABffrTg=")</f>
        <v>#VALUE!</v>
      </c>
      <c r="BF5" t="e">
        <f>AND(OUTPUT!I46,"AAAAABffrTk=")</f>
        <v>#VALUE!</v>
      </c>
      <c r="BG5" t="e">
        <f>AND(OUTPUT!#REF!,"AAAAABffrTo=")</f>
        <v>#REF!</v>
      </c>
      <c r="BH5" t="e">
        <f>AND(OUTPUT!#REF!,"AAAAABffrTs=")</f>
        <v>#REF!</v>
      </c>
      <c r="BI5" t="e">
        <f>AND(OUTPUT!#REF!,"AAAAABffrTw=")</f>
        <v>#REF!</v>
      </c>
      <c r="BJ5" t="e">
        <f>AND(OUTPUT!#REF!,"AAAAABffrT0=")</f>
        <v>#REF!</v>
      </c>
      <c r="BK5" t="e">
        <f>AND(OUTPUT!#REF!,"AAAAABffrT4=")</f>
        <v>#REF!</v>
      </c>
      <c r="BL5" t="e">
        <f>AND(OUTPUT!#REF!,"AAAAABffrT8=")</f>
        <v>#REF!</v>
      </c>
      <c r="BM5" t="e">
        <f>AND(OUTPUT!#REF!,"AAAAABffrUA=")</f>
        <v>#REF!</v>
      </c>
      <c r="BN5">
        <f>IF(OUTPUT!47:47,"AAAAABffrUE=",0)</f>
        <v>0</v>
      </c>
      <c r="BO5" t="e">
        <f>AND(OUTPUT!C50,"AAAAABffrUI=")</f>
        <v>#VALUE!</v>
      </c>
      <c r="BP5" t="e">
        <f>AND(OUTPUT!D50,"AAAAABffrUM=")</f>
        <v>#VALUE!</v>
      </c>
      <c r="BQ5" t="e">
        <f>AND(OUTPUT!E50,"AAAAABffrUQ=")</f>
        <v>#VALUE!</v>
      </c>
      <c r="BR5" t="e">
        <f>AND(OUTPUT!F50,"AAAAABffrUU=")</f>
        <v>#VALUE!</v>
      </c>
      <c r="BS5" t="e">
        <f>AND(OUTPUT!G50,"AAAAABffrUY=")</f>
        <v>#VALUE!</v>
      </c>
      <c r="BT5" t="e">
        <f>AND(OUTPUT!I47,"AAAAABffrUc=")</f>
        <v>#VALUE!</v>
      </c>
      <c r="BU5" t="e">
        <f>AND(OUTPUT!#REF!,"AAAAABffrUg=")</f>
        <v>#REF!</v>
      </c>
      <c r="BV5" t="e">
        <f>AND(OUTPUT!#REF!,"AAAAABffrUk=")</f>
        <v>#REF!</v>
      </c>
      <c r="BW5" t="e">
        <f>AND(OUTPUT!#REF!,"AAAAABffrUo=")</f>
        <v>#REF!</v>
      </c>
      <c r="BX5" t="e">
        <f>AND(OUTPUT!#REF!,"AAAAABffrUs=")</f>
        <v>#REF!</v>
      </c>
      <c r="BY5" t="e">
        <f>AND(OUTPUT!#REF!,"AAAAABffrUw=")</f>
        <v>#REF!</v>
      </c>
      <c r="BZ5" t="e">
        <f>AND(OUTPUT!#REF!,"AAAAABffrU0=")</f>
        <v>#REF!</v>
      </c>
      <c r="CA5" t="e">
        <f>AND(OUTPUT!#REF!,"AAAAABffrU4=")</f>
        <v>#REF!</v>
      </c>
      <c r="CB5">
        <f>IF(OUTPUT!48:48,"AAAAABffrU8=",0)</f>
        <v>0</v>
      </c>
      <c r="CC5" t="e">
        <f>AND(OUTPUT!C51,"AAAAABffrVA=")</f>
        <v>#VALUE!</v>
      </c>
      <c r="CD5" t="e">
        <f>AND(OUTPUT!D51,"AAAAABffrVE=")</f>
        <v>#VALUE!</v>
      </c>
      <c r="CE5" t="e">
        <f>AND(OUTPUT!E51,"AAAAABffrVI=")</f>
        <v>#VALUE!</v>
      </c>
      <c r="CF5" t="e">
        <f>AND(OUTPUT!F51,"AAAAABffrVM=")</f>
        <v>#VALUE!</v>
      </c>
      <c r="CG5" t="e">
        <f>AND(OUTPUT!G51,"AAAAABffrVQ=")</f>
        <v>#VALUE!</v>
      </c>
      <c r="CH5" t="e">
        <f>AND(OUTPUT!I48,"AAAAABffrVU=")</f>
        <v>#VALUE!</v>
      </c>
      <c r="CI5" t="e">
        <f>AND(OUTPUT!#REF!,"AAAAABffrVY=")</f>
        <v>#REF!</v>
      </c>
      <c r="CJ5" t="e">
        <f>AND(OUTPUT!#REF!,"AAAAABffrVc=")</f>
        <v>#REF!</v>
      </c>
      <c r="CK5" t="e">
        <f>AND(OUTPUT!#REF!,"AAAAABffrVg=")</f>
        <v>#REF!</v>
      </c>
      <c r="CL5" t="e">
        <f>AND(OUTPUT!#REF!,"AAAAABffrVk=")</f>
        <v>#REF!</v>
      </c>
      <c r="CM5" t="e">
        <f>AND(OUTPUT!#REF!,"AAAAABffrVo=")</f>
        <v>#REF!</v>
      </c>
      <c r="CN5" t="e">
        <f>AND(OUTPUT!#REF!,"AAAAABffrVs=")</f>
        <v>#REF!</v>
      </c>
      <c r="CO5" t="e">
        <f>AND(OUTPUT!#REF!,"AAAAABffrVw=")</f>
        <v>#REF!</v>
      </c>
      <c r="CP5">
        <f>IF(OUTPUT!49:49,"AAAAABffrV0=",0)</f>
        <v>0</v>
      </c>
      <c r="CQ5" t="e">
        <f>AND(OUTPUT!C52,"AAAAABffrV4=")</f>
        <v>#VALUE!</v>
      </c>
      <c r="CR5" t="e">
        <f>AND(OUTPUT!D52,"AAAAABffrV8=")</f>
        <v>#VALUE!</v>
      </c>
      <c r="CS5" t="e">
        <f>AND(OUTPUT!E52,"AAAAABffrWA=")</f>
        <v>#VALUE!</v>
      </c>
      <c r="CT5" t="e">
        <f>AND(OUTPUT!F52,"AAAAABffrWE=")</f>
        <v>#VALUE!</v>
      </c>
      <c r="CU5" t="e">
        <f>AND(OUTPUT!G52,"AAAAABffrWI=")</f>
        <v>#VALUE!</v>
      </c>
      <c r="CV5" t="e">
        <f>AND(OUTPUT!I49,"AAAAABffrWM=")</f>
        <v>#VALUE!</v>
      </c>
      <c r="CW5" t="e">
        <f>AND(OUTPUT!#REF!,"AAAAABffrWQ=")</f>
        <v>#REF!</v>
      </c>
      <c r="CX5" t="e">
        <f>AND(OUTPUT!#REF!,"AAAAABffrWU=")</f>
        <v>#REF!</v>
      </c>
      <c r="CY5" t="e">
        <f>AND(OUTPUT!#REF!,"AAAAABffrWY=")</f>
        <v>#REF!</v>
      </c>
      <c r="CZ5" t="e">
        <f>AND(OUTPUT!#REF!,"AAAAABffrWc=")</f>
        <v>#REF!</v>
      </c>
      <c r="DA5" t="e">
        <f>AND(OUTPUT!#REF!,"AAAAABffrWg=")</f>
        <v>#REF!</v>
      </c>
      <c r="DB5" t="e">
        <f>AND(OUTPUT!#REF!,"AAAAABffrWk=")</f>
        <v>#REF!</v>
      </c>
      <c r="DC5" t="e">
        <f>AND(OUTPUT!#REF!,"AAAAABffrWo=")</f>
        <v>#REF!</v>
      </c>
      <c r="DD5">
        <f>IF(OUTPUT!50:50,"AAAAABffrWs=",0)</f>
        <v>0</v>
      </c>
      <c r="DE5" t="e">
        <f>AND(OUTPUT!C53,"AAAAABffrWw=")</f>
        <v>#VALUE!</v>
      </c>
      <c r="DF5" t="e">
        <f>AND(OUTPUT!D53,"AAAAABffrW0=")</f>
        <v>#VALUE!</v>
      </c>
      <c r="DG5" t="e">
        <f>AND(OUTPUT!E53,"AAAAABffrW4=")</f>
        <v>#VALUE!</v>
      </c>
      <c r="DH5" t="e">
        <f>AND(OUTPUT!F53,"AAAAABffrW8=")</f>
        <v>#VALUE!</v>
      </c>
      <c r="DI5" t="e">
        <f>AND(OUTPUT!G53,"AAAAABffrXA=")</f>
        <v>#VALUE!</v>
      </c>
      <c r="DJ5" t="e">
        <f>AND(OUTPUT!I50,"AAAAABffrXE=")</f>
        <v>#VALUE!</v>
      </c>
      <c r="DK5" t="e">
        <f>AND(OUTPUT!#REF!,"AAAAABffrXI=")</f>
        <v>#REF!</v>
      </c>
      <c r="DL5" t="e">
        <f>AND(OUTPUT!#REF!,"AAAAABffrXM=")</f>
        <v>#REF!</v>
      </c>
      <c r="DM5" t="e">
        <f>AND(OUTPUT!#REF!,"AAAAABffrXQ=")</f>
        <v>#REF!</v>
      </c>
      <c r="DN5" t="e">
        <f>AND(OUTPUT!#REF!,"AAAAABffrXU=")</f>
        <v>#REF!</v>
      </c>
      <c r="DO5" t="e">
        <f>AND(OUTPUT!#REF!,"AAAAABffrXY=")</f>
        <v>#REF!</v>
      </c>
      <c r="DP5" t="e">
        <f>AND(OUTPUT!#REF!,"AAAAABffrXc=")</f>
        <v>#REF!</v>
      </c>
      <c r="DQ5" t="e">
        <f>AND(OUTPUT!#REF!,"AAAAABffrXg=")</f>
        <v>#REF!</v>
      </c>
      <c r="DR5">
        <f>IF(OUTPUT!51:51,"AAAAABffrXk=",0)</f>
        <v>0</v>
      </c>
      <c r="DS5" t="e">
        <f>AND(OUTPUT!C54,"AAAAABffrXo=")</f>
        <v>#VALUE!</v>
      </c>
      <c r="DT5" t="e">
        <f>AND(OUTPUT!D54,"AAAAABffrXs=")</f>
        <v>#VALUE!</v>
      </c>
      <c r="DU5" t="e">
        <f>AND(OUTPUT!E54,"AAAAABffrXw=")</f>
        <v>#VALUE!</v>
      </c>
      <c r="DV5" t="e">
        <f>AND(OUTPUT!F54,"AAAAABffrX0=")</f>
        <v>#VALUE!</v>
      </c>
      <c r="DW5" t="e">
        <f>AND(OUTPUT!G54,"AAAAABffrX4=")</f>
        <v>#VALUE!</v>
      </c>
      <c r="DX5" t="e">
        <f>AND(OUTPUT!I51,"AAAAABffrX8=")</f>
        <v>#VALUE!</v>
      </c>
      <c r="DY5" t="e">
        <f>AND(OUTPUT!#REF!,"AAAAABffrYA=")</f>
        <v>#REF!</v>
      </c>
      <c r="DZ5" t="e">
        <f>AND(OUTPUT!#REF!,"AAAAABffrYE=")</f>
        <v>#REF!</v>
      </c>
      <c r="EA5" t="e">
        <f>AND(OUTPUT!#REF!,"AAAAABffrYI=")</f>
        <v>#REF!</v>
      </c>
      <c r="EB5" t="e">
        <f>AND(OUTPUT!#REF!,"AAAAABffrYM=")</f>
        <v>#REF!</v>
      </c>
      <c r="EC5" t="e">
        <f>AND(OUTPUT!#REF!,"AAAAABffrYQ=")</f>
        <v>#REF!</v>
      </c>
      <c r="ED5" t="e">
        <f>AND(OUTPUT!#REF!,"AAAAABffrYU=")</f>
        <v>#REF!</v>
      </c>
      <c r="EE5" t="e">
        <f>AND(OUTPUT!#REF!,"AAAAABffrYY=")</f>
        <v>#REF!</v>
      </c>
      <c r="EF5">
        <f>IF(OUTPUT!52:52,"AAAAABffrYc=",0)</f>
        <v>0</v>
      </c>
      <c r="EG5" t="e">
        <f>AND(OUTPUT!C55,"AAAAABffrYg=")</f>
        <v>#VALUE!</v>
      </c>
      <c r="EH5" t="e">
        <f>AND(OUTPUT!D55,"AAAAABffrYk=")</f>
        <v>#VALUE!</v>
      </c>
      <c r="EI5" t="e">
        <f>AND(OUTPUT!E55,"AAAAABffrYo=")</f>
        <v>#VALUE!</v>
      </c>
      <c r="EJ5" t="e">
        <f>AND(OUTPUT!F55,"AAAAABffrYs=")</f>
        <v>#VALUE!</v>
      </c>
      <c r="EK5" t="e">
        <f>AND(OUTPUT!G55,"AAAAABffrYw=")</f>
        <v>#VALUE!</v>
      </c>
      <c r="EL5" t="e">
        <f>AND(OUTPUT!I52,"AAAAABffrY0=")</f>
        <v>#VALUE!</v>
      </c>
      <c r="EM5" t="e">
        <f>AND(OUTPUT!#REF!,"AAAAABffrY4=")</f>
        <v>#REF!</v>
      </c>
      <c r="EN5" t="e">
        <f>AND(OUTPUT!#REF!,"AAAAABffrY8=")</f>
        <v>#REF!</v>
      </c>
      <c r="EO5" t="e">
        <f>AND(OUTPUT!#REF!,"AAAAABffrZA=")</f>
        <v>#REF!</v>
      </c>
      <c r="EP5" t="e">
        <f>AND(OUTPUT!#REF!,"AAAAABffrZE=")</f>
        <v>#REF!</v>
      </c>
      <c r="EQ5" t="e">
        <f>AND(OUTPUT!#REF!,"AAAAABffrZI=")</f>
        <v>#REF!</v>
      </c>
      <c r="ER5" t="e">
        <f>AND(OUTPUT!#REF!,"AAAAABffrZM=")</f>
        <v>#REF!</v>
      </c>
      <c r="ES5" t="e">
        <f>AND(OUTPUT!#REF!,"AAAAABffrZQ=")</f>
        <v>#REF!</v>
      </c>
      <c r="ET5">
        <f>IF(OUTPUT!53:53,"AAAAABffrZU=",0)</f>
        <v>0</v>
      </c>
      <c r="EU5" t="e">
        <f>AND(OUTPUT!C56,"AAAAABffrZY=")</f>
        <v>#VALUE!</v>
      </c>
      <c r="EV5" t="e">
        <f>AND(OUTPUT!D56,"AAAAABffrZc=")</f>
        <v>#VALUE!</v>
      </c>
      <c r="EW5" t="e">
        <f>AND(OUTPUT!E56,"AAAAABffrZg=")</f>
        <v>#VALUE!</v>
      </c>
      <c r="EX5" t="e">
        <f>AND(OUTPUT!F56,"AAAAABffrZk=")</f>
        <v>#VALUE!</v>
      </c>
      <c r="EY5" t="e">
        <f>AND(OUTPUT!G56,"AAAAABffrZo=")</f>
        <v>#VALUE!</v>
      </c>
      <c r="EZ5" t="e">
        <f>AND(OUTPUT!I53,"AAAAABffrZs=")</f>
        <v>#VALUE!</v>
      </c>
      <c r="FA5" t="e">
        <f>AND(OUTPUT!#REF!,"AAAAABffrZw=")</f>
        <v>#REF!</v>
      </c>
      <c r="FB5" t="e">
        <f>AND(OUTPUT!#REF!,"AAAAABffrZ0=")</f>
        <v>#REF!</v>
      </c>
      <c r="FC5" t="e">
        <f>AND(OUTPUT!#REF!,"AAAAABffrZ4=")</f>
        <v>#REF!</v>
      </c>
      <c r="FD5" t="e">
        <f>AND(OUTPUT!#REF!,"AAAAABffrZ8=")</f>
        <v>#REF!</v>
      </c>
      <c r="FE5" t="e">
        <f>AND(OUTPUT!#REF!,"AAAAABffraA=")</f>
        <v>#REF!</v>
      </c>
      <c r="FF5" t="e">
        <f>AND(OUTPUT!#REF!,"AAAAABffraE=")</f>
        <v>#REF!</v>
      </c>
      <c r="FG5" t="e">
        <f>AND(OUTPUT!#REF!,"AAAAABffraI=")</f>
        <v>#REF!</v>
      </c>
      <c r="FH5">
        <f>IF(OUTPUT!54:54,"AAAAABffraM=",0)</f>
        <v>0</v>
      </c>
      <c r="FI5" t="e">
        <f>AND(OUTPUT!C57,"AAAAABffraQ=")</f>
        <v>#VALUE!</v>
      </c>
      <c r="FJ5" t="e">
        <f>AND(OUTPUT!D57,"AAAAABffraU=")</f>
        <v>#VALUE!</v>
      </c>
      <c r="FK5" t="e">
        <f>AND(OUTPUT!E57,"AAAAABffraY=")</f>
        <v>#VALUE!</v>
      </c>
      <c r="FL5" t="e">
        <f>AND(OUTPUT!F57,"AAAAABffrac=")</f>
        <v>#VALUE!</v>
      </c>
      <c r="FM5" t="e">
        <f>AND(OUTPUT!G57,"AAAAABffrag=")</f>
        <v>#VALUE!</v>
      </c>
      <c r="FN5" t="e">
        <f>AND(OUTPUT!I54,"AAAAABffrak=")</f>
        <v>#VALUE!</v>
      </c>
      <c r="FO5" t="e">
        <f>AND(OUTPUT!#REF!,"AAAAABffrao=")</f>
        <v>#REF!</v>
      </c>
      <c r="FP5" t="e">
        <f>AND(OUTPUT!#REF!,"AAAAABffras=")</f>
        <v>#REF!</v>
      </c>
      <c r="FQ5" t="e">
        <f>AND(OUTPUT!#REF!,"AAAAABffraw=")</f>
        <v>#REF!</v>
      </c>
      <c r="FR5" t="e">
        <f>AND(OUTPUT!#REF!,"AAAAABffra0=")</f>
        <v>#REF!</v>
      </c>
      <c r="FS5" t="e">
        <f>AND(OUTPUT!#REF!,"AAAAABffra4=")</f>
        <v>#REF!</v>
      </c>
      <c r="FT5" t="e">
        <f>AND(OUTPUT!#REF!,"AAAAABffra8=")</f>
        <v>#REF!</v>
      </c>
      <c r="FU5" t="e">
        <f>AND(OUTPUT!#REF!,"AAAAABffrbA=")</f>
        <v>#REF!</v>
      </c>
      <c r="FV5">
        <f>IF(OUTPUT!55:55,"AAAAABffrbE=",0)</f>
        <v>0</v>
      </c>
      <c r="FW5" t="e">
        <f>AND(OUTPUT!C58,"AAAAABffrbI=")</f>
        <v>#VALUE!</v>
      </c>
      <c r="FX5" t="e">
        <f>AND(OUTPUT!D58,"AAAAABffrbM=")</f>
        <v>#VALUE!</v>
      </c>
      <c r="FY5" t="e">
        <f>AND(OUTPUT!E58,"AAAAABffrbQ=")</f>
        <v>#VALUE!</v>
      </c>
      <c r="FZ5" t="e">
        <f>AND(OUTPUT!F58,"AAAAABffrbU=")</f>
        <v>#VALUE!</v>
      </c>
      <c r="GA5" t="e">
        <f>AND(OUTPUT!G58,"AAAAABffrbY=")</f>
        <v>#VALUE!</v>
      </c>
      <c r="GB5" t="e">
        <f>AND(OUTPUT!I55,"AAAAABffrbc=")</f>
        <v>#VALUE!</v>
      </c>
      <c r="GC5" t="e">
        <f>AND(OUTPUT!#REF!,"AAAAABffrbg=")</f>
        <v>#REF!</v>
      </c>
      <c r="GD5" t="e">
        <f>AND(OUTPUT!#REF!,"AAAAABffrbk=")</f>
        <v>#REF!</v>
      </c>
      <c r="GE5" t="e">
        <f>AND(OUTPUT!#REF!,"AAAAABffrbo=")</f>
        <v>#REF!</v>
      </c>
      <c r="GF5" t="e">
        <f>AND(OUTPUT!#REF!,"AAAAABffrbs=")</f>
        <v>#REF!</v>
      </c>
      <c r="GG5" t="e">
        <f>AND(OUTPUT!#REF!,"AAAAABffrbw=")</f>
        <v>#REF!</v>
      </c>
      <c r="GH5" t="e">
        <f>AND(OUTPUT!#REF!,"AAAAABffrb0=")</f>
        <v>#REF!</v>
      </c>
      <c r="GI5" t="e">
        <f>AND(OUTPUT!#REF!,"AAAAABffrb4=")</f>
        <v>#REF!</v>
      </c>
      <c r="GJ5">
        <f>IF(OUTPUT!56:56,"AAAAABffrb8=",0)</f>
        <v>0</v>
      </c>
      <c r="GK5" t="e">
        <f>AND(OUTPUT!C59,"AAAAABffrcA=")</f>
        <v>#VALUE!</v>
      </c>
      <c r="GL5" t="e">
        <f>AND(OUTPUT!D59,"AAAAABffrcE=")</f>
        <v>#VALUE!</v>
      </c>
      <c r="GM5" t="e">
        <f>AND(OUTPUT!E59,"AAAAABffrcI=")</f>
        <v>#VALUE!</v>
      </c>
      <c r="GN5" t="e">
        <f>AND(OUTPUT!F59,"AAAAABffrcM=")</f>
        <v>#VALUE!</v>
      </c>
      <c r="GO5" t="e">
        <f>AND(OUTPUT!G59,"AAAAABffrcQ=")</f>
        <v>#VALUE!</v>
      </c>
      <c r="GP5" t="e">
        <f>AND(OUTPUT!I56,"AAAAABffrcU=")</f>
        <v>#VALUE!</v>
      </c>
      <c r="GQ5" t="e">
        <f>AND(OUTPUT!#REF!,"AAAAABffrcY=")</f>
        <v>#REF!</v>
      </c>
      <c r="GR5" t="e">
        <f>AND(OUTPUT!#REF!,"AAAAABffrcc=")</f>
        <v>#REF!</v>
      </c>
      <c r="GS5" t="e">
        <f>AND(OUTPUT!#REF!,"AAAAABffrcg=")</f>
        <v>#REF!</v>
      </c>
      <c r="GT5" t="e">
        <f>AND(OUTPUT!#REF!,"AAAAABffrck=")</f>
        <v>#REF!</v>
      </c>
      <c r="GU5" t="e">
        <f>AND(OUTPUT!#REF!,"AAAAABffrco=")</f>
        <v>#REF!</v>
      </c>
      <c r="GV5" t="e">
        <f>AND(OUTPUT!#REF!,"AAAAABffrcs=")</f>
        <v>#REF!</v>
      </c>
      <c r="GW5" t="e">
        <f>AND(OUTPUT!#REF!,"AAAAABffrcw=")</f>
        <v>#REF!</v>
      </c>
      <c r="GX5">
        <f>IF(OUTPUT!57:57,"AAAAABffrc0=",0)</f>
        <v>0</v>
      </c>
      <c r="GY5" t="e">
        <f>AND(OUTPUT!C60,"AAAAABffrc4=")</f>
        <v>#VALUE!</v>
      </c>
      <c r="GZ5" t="e">
        <f>AND(OUTPUT!D60,"AAAAABffrc8=")</f>
        <v>#VALUE!</v>
      </c>
      <c r="HA5" t="e">
        <f>AND(OUTPUT!E60,"AAAAABffrdA=")</f>
        <v>#VALUE!</v>
      </c>
      <c r="HB5" t="e">
        <f>AND(OUTPUT!F60,"AAAAABffrdE=")</f>
        <v>#VALUE!</v>
      </c>
      <c r="HC5" t="e">
        <f>AND(OUTPUT!G60,"AAAAABffrdI=")</f>
        <v>#VALUE!</v>
      </c>
      <c r="HD5" t="e">
        <f>AND(OUTPUT!I57,"AAAAABffrdM=")</f>
        <v>#VALUE!</v>
      </c>
      <c r="HE5" t="e">
        <f>AND(OUTPUT!#REF!,"AAAAABffrdQ=")</f>
        <v>#REF!</v>
      </c>
      <c r="HF5" t="e">
        <f>AND(OUTPUT!#REF!,"AAAAABffrdU=")</f>
        <v>#REF!</v>
      </c>
      <c r="HG5" t="e">
        <f>AND(OUTPUT!#REF!,"AAAAABffrdY=")</f>
        <v>#REF!</v>
      </c>
      <c r="HH5" t="e">
        <f>AND(OUTPUT!#REF!,"AAAAABffrdc=")</f>
        <v>#REF!</v>
      </c>
      <c r="HI5" t="e">
        <f>AND(OUTPUT!#REF!,"AAAAABffrdg=")</f>
        <v>#REF!</v>
      </c>
      <c r="HJ5" t="e">
        <f>AND(OUTPUT!#REF!,"AAAAABffrdk=")</f>
        <v>#REF!</v>
      </c>
      <c r="HK5" t="e">
        <f>AND(OUTPUT!#REF!,"AAAAABffrdo=")</f>
        <v>#REF!</v>
      </c>
      <c r="HL5">
        <f>IF(OUTPUT!58:58,"AAAAABffrds=",0)</f>
        <v>0</v>
      </c>
      <c r="HM5" t="e">
        <f>AND(OUTPUT!C61,"AAAAABffrdw=")</f>
        <v>#VALUE!</v>
      </c>
      <c r="HN5" t="e">
        <f>AND(OUTPUT!D61,"AAAAABffrd0=")</f>
        <v>#VALUE!</v>
      </c>
      <c r="HO5" t="e">
        <f>AND(OUTPUT!E61,"AAAAABffrd4=")</f>
        <v>#VALUE!</v>
      </c>
      <c r="HP5" t="e">
        <f>AND(OUTPUT!F61,"AAAAABffrd8=")</f>
        <v>#VALUE!</v>
      </c>
      <c r="HQ5" t="e">
        <f>AND(OUTPUT!G61,"AAAAABffreA=")</f>
        <v>#VALUE!</v>
      </c>
      <c r="HR5" t="e">
        <f>AND(OUTPUT!I58,"AAAAABffreE=")</f>
        <v>#VALUE!</v>
      </c>
      <c r="HS5" t="e">
        <f>AND(OUTPUT!#REF!,"AAAAABffreI=")</f>
        <v>#REF!</v>
      </c>
      <c r="HT5" t="e">
        <f>AND(OUTPUT!#REF!,"AAAAABffreM=")</f>
        <v>#REF!</v>
      </c>
      <c r="HU5" t="e">
        <f>AND(OUTPUT!#REF!,"AAAAABffreQ=")</f>
        <v>#REF!</v>
      </c>
      <c r="HV5" t="e">
        <f>AND(OUTPUT!#REF!,"AAAAABffreU=")</f>
        <v>#REF!</v>
      </c>
      <c r="HW5" t="e">
        <f>AND(OUTPUT!#REF!,"AAAAABffreY=")</f>
        <v>#REF!</v>
      </c>
      <c r="HX5" t="e">
        <f>AND(OUTPUT!#REF!,"AAAAABffrec=")</f>
        <v>#REF!</v>
      </c>
      <c r="HY5" t="e">
        <f>AND(OUTPUT!#REF!,"AAAAABffreg=")</f>
        <v>#REF!</v>
      </c>
      <c r="HZ5">
        <f>IF(OUTPUT!59:59,"AAAAABffrek=",0)</f>
        <v>0</v>
      </c>
      <c r="IA5" t="e">
        <f>AND(OUTPUT!C62,"AAAAABffreo=")</f>
        <v>#VALUE!</v>
      </c>
      <c r="IB5" t="e">
        <f>AND(OUTPUT!D62,"AAAAABffres=")</f>
        <v>#VALUE!</v>
      </c>
      <c r="IC5" t="e">
        <f>AND(OUTPUT!E62,"AAAAABffrew=")</f>
        <v>#VALUE!</v>
      </c>
      <c r="ID5" t="e">
        <f>AND(OUTPUT!F62,"AAAAABffre0=")</f>
        <v>#VALUE!</v>
      </c>
      <c r="IE5" t="e">
        <f>AND(OUTPUT!G62,"AAAAABffre4=")</f>
        <v>#VALUE!</v>
      </c>
      <c r="IF5" t="e">
        <f>AND(OUTPUT!I59,"AAAAABffre8=")</f>
        <v>#VALUE!</v>
      </c>
      <c r="IG5" t="e">
        <f>AND(OUTPUT!#REF!,"AAAAABffrfA=")</f>
        <v>#REF!</v>
      </c>
      <c r="IH5" t="e">
        <f>AND(OUTPUT!#REF!,"AAAAABffrfE=")</f>
        <v>#REF!</v>
      </c>
      <c r="II5" t="e">
        <f>AND(OUTPUT!#REF!,"AAAAABffrfI=")</f>
        <v>#REF!</v>
      </c>
      <c r="IJ5" t="e">
        <f>AND(OUTPUT!#REF!,"AAAAABffrfM=")</f>
        <v>#REF!</v>
      </c>
      <c r="IK5" t="e">
        <f>AND(OUTPUT!#REF!,"AAAAABffrfQ=")</f>
        <v>#REF!</v>
      </c>
      <c r="IL5" t="e">
        <f>AND(OUTPUT!#REF!,"AAAAABffrfU=")</f>
        <v>#REF!</v>
      </c>
      <c r="IM5" t="e">
        <f>AND(OUTPUT!#REF!,"AAAAABffrfY=")</f>
        <v>#REF!</v>
      </c>
      <c r="IN5">
        <f>IF(OUTPUT!60:60,"AAAAABffrfc=",0)</f>
        <v>0</v>
      </c>
      <c r="IO5" t="e">
        <f>AND(OUTPUT!C63,"AAAAABffrfg=")</f>
        <v>#VALUE!</v>
      </c>
      <c r="IP5" t="e">
        <f>AND(OUTPUT!D63,"AAAAABffrfk=")</f>
        <v>#VALUE!</v>
      </c>
      <c r="IQ5" t="e">
        <f>AND(OUTPUT!E63,"AAAAABffrfo=")</f>
        <v>#VALUE!</v>
      </c>
      <c r="IR5" t="e">
        <f>AND(OUTPUT!F63,"AAAAABffrfs=")</f>
        <v>#VALUE!</v>
      </c>
      <c r="IS5" t="e">
        <f>AND(OUTPUT!G63,"AAAAABffrfw=")</f>
        <v>#VALUE!</v>
      </c>
      <c r="IT5" t="e">
        <f>AND(OUTPUT!I60,"AAAAABffrf0=")</f>
        <v>#VALUE!</v>
      </c>
      <c r="IU5" t="e">
        <f>AND(OUTPUT!#REF!,"AAAAABffrf4=")</f>
        <v>#REF!</v>
      </c>
      <c r="IV5" t="e">
        <f>AND(OUTPUT!#REF!,"AAAAABffrf8=")</f>
        <v>#REF!</v>
      </c>
    </row>
    <row r="6" spans="1:256" x14ac:dyDescent="0.2">
      <c r="A6" t="e">
        <f>AND(OUTPUT!#REF!,"AAAAAHb/+QA=")</f>
        <v>#REF!</v>
      </c>
      <c r="B6" t="e">
        <f>AND(OUTPUT!#REF!,"AAAAAHb/+QE=")</f>
        <v>#REF!</v>
      </c>
      <c r="C6" t="e">
        <f>AND(OUTPUT!#REF!,"AAAAAHb/+QI=")</f>
        <v>#REF!</v>
      </c>
      <c r="D6" t="e">
        <f>AND(OUTPUT!#REF!,"AAAAAHb/+QM=")</f>
        <v>#REF!</v>
      </c>
      <c r="E6" t="e">
        <f>AND(OUTPUT!#REF!,"AAAAAHb/+QQ=")</f>
        <v>#REF!</v>
      </c>
      <c r="F6">
        <f>IF(OUTPUT!61:61,"AAAAAHb/+QU=",0)</f>
        <v>0</v>
      </c>
      <c r="G6" t="e">
        <f>AND(OUTPUT!C64,"AAAAAHb/+QY=")</f>
        <v>#VALUE!</v>
      </c>
      <c r="H6" t="e">
        <f>AND(OUTPUT!D64,"AAAAAHb/+Qc=")</f>
        <v>#VALUE!</v>
      </c>
      <c r="I6" t="e">
        <f>AND(OUTPUT!E64,"AAAAAHb/+Qg=")</f>
        <v>#VALUE!</v>
      </c>
      <c r="J6" t="e">
        <f>AND(OUTPUT!F64,"AAAAAHb/+Qk=")</f>
        <v>#VALUE!</v>
      </c>
      <c r="K6" t="e">
        <f>AND(OUTPUT!G64,"AAAAAHb/+Qo=")</f>
        <v>#VALUE!</v>
      </c>
      <c r="L6" t="e">
        <f>AND(OUTPUT!I61,"AAAAAHb/+Qs=")</f>
        <v>#VALUE!</v>
      </c>
      <c r="M6" t="e">
        <f>AND(OUTPUT!#REF!,"AAAAAHb/+Qw=")</f>
        <v>#REF!</v>
      </c>
      <c r="N6" t="e">
        <f>AND(OUTPUT!#REF!,"AAAAAHb/+Q0=")</f>
        <v>#REF!</v>
      </c>
      <c r="O6" t="e">
        <f>AND(OUTPUT!#REF!,"AAAAAHb/+Q4=")</f>
        <v>#REF!</v>
      </c>
      <c r="P6" t="e">
        <f>AND(OUTPUT!#REF!,"AAAAAHb/+Q8=")</f>
        <v>#REF!</v>
      </c>
      <c r="Q6" t="e">
        <f>AND(OUTPUT!#REF!,"AAAAAHb/+RA=")</f>
        <v>#REF!</v>
      </c>
      <c r="R6" t="e">
        <f>AND(OUTPUT!#REF!,"AAAAAHb/+RE=")</f>
        <v>#REF!</v>
      </c>
      <c r="S6" t="e">
        <f>AND(OUTPUT!#REF!,"AAAAAHb/+RI=")</f>
        <v>#REF!</v>
      </c>
      <c r="T6">
        <f>IF(OUTPUT!62:62,"AAAAAHb/+RM=",0)</f>
        <v>0</v>
      </c>
      <c r="U6" t="e">
        <f>AND(OUTPUT!C65,"AAAAAHb/+RQ=")</f>
        <v>#VALUE!</v>
      </c>
      <c r="V6" t="e">
        <f>AND(OUTPUT!D65,"AAAAAHb/+RU=")</f>
        <v>#VALUE!</v>
      </c>
      <c r="W6" t="e">
        <f>AND(OUTPUT!E65,"AAAAAHb/+RY=")</f>
        <v>#VALUE!</v>
      </c>
      <c r="X6" t="e">
        <f>AND(OUTPUT!F65,"AAAAAHb/+Rc=")</f>
        <v>#VALUE!</v>
      </c>
      <c r="Y6" t="e">
        <f>AND(OUTPUT!G65,"AAAAAHb/+Rg=")</f>
        <v>#VALUE!</v>
      </c>
      <c r="Z6" t="e">
        <f>AND(OUTPUT!I62,"AAAAAHb/+Rk=")</f>
        <v>#VALUE!</v>
      </c>
      <c r="AA6" t="e">
        <f>AND(OUTPUT!#REF!,"AAAAAHb/+Ro=")</f>
        <v>#REF!</v>
      </c>
      <c r="AB6" t="e">
        <f>AND(OUTPUT!#REF!,"AAAAAHb/+Rs=")</f>
        <v>#REF!</v>
      </c>
      <c r="AC6" t="e">
        <f>AND(OUTPUT!#REF!,"AAAAAHb/+Rw=")</f>
        <v>#REF!</v>
      </c>
      <c r="AD6" t="e">
        <f>AND(OUTPUT!#REF!,"AAAAAHb/+R0=")</f>
        <v>#REF!</v>
      </c>
      <c r="AE6" t="e">
        <f>AND(OUTPUT!#REF!,"AAAAAHb/+R4=")</f>
        <v>#REF!</v>
      </c>
      <c r="AF6" t="e">
        <f>AND(OUTPUT!#REF!,"AAAAAHb/+R8=")</f>
        <v>#REF!</v>
      </c>
      <c r="AG6" t="e">
        <f>AND(OUTPUT!#REF!,"AAAAAHb/+SA=")</f>
        <v>#REF!</v>
      </c>
      <c r="AH6">
        <f>IF(OUTPUT!63:63,"AAAAAHb/+SE=",0)</f>
        <v>0</v>
      </c>
      <c r="AI6" t="e">
        <f>AND(OUTPUT!C66,"AAAAAHb/+SI=")</f>
        <v>#VALUE!</v>
      </c>
      <c r="AJ6" t="e">
        <f>AND(OUTPUT!D66,"AAAAAHb/+SM=")</f>
        <v>#VALUE!</v>
      </c>
      <c r="AK6" t="e">
        <f>AND(OUTPUT!E66,"AAAAAHb/+SQ=")</f>
        <v>#VALUE!</v>
      </c>
      <c r="AL6" t="e">
        <f>AND(OUTPUT!F66,"AAAAAHb/+SU=")</f>
        <v>#VALUE!</v>
      </c>
      <c r="AM6" t="e">
        <f>AND(OUTPUT!G66,"AAAAAHb/+SY=")</f>
        <v>#VALUE!</v>
      </c>
      <c r="AN6" t="e">
        <f>AND(OUTPUT!I63,"AAAAAHb/+Sc=")</f>
        <v>#VALUE!</v>
      </c>
      <c r="AO6" t="e">
        <f>AND(OUTPUT!#REF!,"AAAAAHb/+Sg=")</f>
        <v>#REF!</v>
      </c>
      <c r="AP6" t="e">
        <f>AND(OUTPUT!#REF!,"AAAAAHb/+Sk=")</f>
        <v>#REF!</v>
      </c>
      <c r="AQ6" t="e">
        <f>AND(OUTPUT!#REF!,"AAAAAHb/+So=")</f>
        <v>#REF!</v>
      </c>
      <c r="AR6" t="e">
        <f>AND(OUTPUT!#REF!,"AAAAAHb/+Ss=")</f>
        <v>#REF!</v>
      </c>
      <c r="AS6" t="e">
        <f>AND(OUTPUT!#REF!,"AAAAAHb/+Sw=")</f>
        <v>#REF!</v>
      </c>
      <c r="AT6" t="e">
        <f>AND(OUTPUT!#REF!,"AAAAAHb/+S0=")</f>
        <v>#REF!</v>
      </c>
      <c r="AU6" t="e">
        <f>AND(OUTPUT!#REF!,"AAAAAHb/+S4=")</f>
        <v>#REF!</v>
      </c>
      <c r="AV6">
        <f>IF(OUTPUT!64:64,"AAAAAHb/+S8=",0)</f>
        <v>0</v>
      </c>
      <c r="AW6" t="e">
        <f>AND(OUTPUT!C67,"AAAAAHb/+TA=")</f>
        <v>#VALUE!</v>
      </c>
      <c r="AX6" t="e">
        <f>AND(OUTPUT!D67,"AAAAAHb/+TE=")</f>
        <v>#VALUE!</v>
      </c>
      <c r="AY6" t="e">
        <f>AND(OUTPUT!E67,"AAAAAHb/+TI=")</f>
        <v>#VALUE!</v>
      </c>
      <c r="AZ6" t="e">
        <f>AND(OUTPUT!F67,"AAAAAHb/+TM=")</f>
        <v>#VALUE!</v>
      </c>
      <c r="BA6" t="e">
        <f>AND(OUTPUT!G67,"AAAAAHb/+TQ=")</f>
        <v>#VALUE!</v>
      </c>
      <c r="BB6" t="e">
        <f>AND(OUTPUT!I64,"AAAAAHb/+TU=")</f>
        <v>#VALUE!</v>
      </c>
      <c r="BC6" t="e">
        <f>AND(OUTPUT!#REF!,"AAAAAHb/+TY=")</f>
        <v>#REF!</v>
      </c>
      <c r="BD6" t="e">
        <f>AND(OUTPUT!#REF!,"AAAAAHb/+Tc=")</f>
        <v>#REF!</v>
      </c>
      <c r="BE6" t="e">
        <f>AND(OUTPUT!#REF!,"AAAAAHb/+Tg=")</f>
        <v>#REF!</v>
      </c>
      <c r="BF6" t="e">
        <f>AND(OUTPUT!#REF!,"AAAAAHb/+Tk=")</f>
        <v>#REF!</v>
      </c>
      <c r="BG6" t="e">
        <f>AND(OUTPUT!#REF!,"AAAAAHb/+To=")</f>
        <v>#REF!</v>
      </c>
      <c r="BH6" t="e">
        <f>AND(OUTPUT!#REF!,"AAAAAHb/+Ts=")</f>
        <v>#REF!</v>
      </c>
      <c r="BI6" t="e">
        <f>AND(OUTPUT!#REF!,"AAAAAHb/+Tw=")</f>
        <v>#REF!</v>
      </c>
      <c r="BJ6">
        <f>IF(OUTPUT!65:65,"AAAAAHb/+T0=",0)</f>
        <v>0</v>
      </c>
      <c r="BK6" t="e">
        <f>AND(OUTPUT!C68,"AAAAAHb/+T4=")</f>
        <v>#VALUE!</v>
      </c>
      <c r="BL6" t="e">
        <f>AND(OUTPUT!D68,"AAAAAHb/+T8=")</f>
        <v>#VALUE!</v>
      </c>
      <c r="BM6" t="e">
        <f>AND(OUTPUT!E68,"AAAAAHb/+UA=")</f>
        <v>#VALUE!</v>
      </c>
      <c r="BN6" t="e">
        <f>AND(OUTPUT!F68,"AAAAAHb/+UE=")</f>
        <v>#VALUE!</v>
      </c>
      <c r="BO6" t="e">
        <f>AND(OUTPUT!G68,"AAAAAHb/+UI=")</f>
        <v>#VALUE!</v>
      </c>
      <c r="BP6" t="e">
        <f>AND(OUTPUT!I65,"AAAAAHb/+UM=")</f>
        <v>#VALUE!</v>
      </c>
      <c r="BQ6" t="e">
        <f>AND(OUTPUT!#REF!,"AAAAAHb/+UQ=")</f>
        <v>#REF!</v>
      </c>
      <c r="BR6" t="e">
        <f>AND(OUTPUT!#REF!,"AAAAAHb/+UU=")</f>
        <v>#REF!</v>
      </c>
      <c r="BS6" t="e">
        <f>AND(OUTPUT!#REF!,"AAAAAHb/+UY=")</f>
        <v>#REF!</v>
      </c>
      <c r="BT6" t="e">
        <f>AND(OUTPUT!#REF!,"AAAAAHb/+Uc=")</f>
        <v>#REF!</v>
      </c>
      <c r="BU6" t="e">
        <f>AND(OUTPUT!#REF!,"AAAAAHb/+Ug=")</f>
        <v>#REF!</v>
      </c>
      <c r="BV6" t="e">
        <f>AND(OUTPUT!#REF!,"AAAAAHb/+Uk=")</f>
        <v>#REF!</v>
      </c>
      <c r="BW6" t="e">
        <f>AND(OUTPUT!#REF!,"AAAAAHb/+Uo=")</f>
        <v>#REF!</v>
      </c>
      <c r="BX6">
        <f>IF(OUTPUT!66:66,"AAAAAHb/+Us=",0)</f>
        <v>0</v>
      </c>
      <c r="BY6" t="e">
        <f>AND(OUTPUT!C69,"AAAAAHb/+Uw=")</f>
        <v>#VALUE!</v>
      </c>
      <c r="BZ6" t="e">
        <f>AND(OUTPUT!D69,"AAAAAHb/+U0=")</f>
        <v>#VALUE!</v>
      </c>
      <c r="CA6" t="e">
        <f>AND(OUTPUT!E69,"AAAAAHb/+U4=")</f>
        <v>#VALUE!</v>
      </c>
      <c r="CB6" t="e">
        <f>AND(OUTPUT!F69,"AAAAAHb/+U8=")</f>
        <v>#VALUE!</v>
      </c>
      <c r="CC6" t="e">
        <f>AND(OUTPUT!G69,"AAAAAHb/+VA=")</f>
        <v>#VALUE!</v>
      </c>
      <c r="CD6" t="e">
        <f>AND(OUTPUT!I66,"AAAAAHb/+VE=")</f>
        <v>#VALUE!</v>
      </c>
      <c r="CE6" t="e">
        <f>AND(OUTPUT!#REF!,"AAAAAHb/+VI=")</f>
        <v>#REF!</v>
      </c>
      <c r="CF6" t="e">
        <f>AND(OUTPUT!#REF!,"AAAAAHb/+VM=")</f>
        <v>#REF!</v>
      </c>
      <c r="CG6" t="e">
        <f>AND(OUTPUT!#REF!,"AAAAAHb/+VQ=")</f>
        <v>#REF!</v>
      </c>
      <c r="CH6" t="e">
        <f>AND(OUTPUT!#REF!,"AAAAAHb/+VU=")</f>
        <v>#REF!</v>
      </c>
      <c r="CI6" t="e">
        <f>AND(OUTPUT!#REF!,"AAAAAHb/+VY=")</f>
        <v>#REF!</v>
      </c>
      <c r="CJ6" t="e">
        <f>AND(OUTPUT!#REF!,"AAAAAHb/+Vc=")</f>
        <v>#REF!</v>
      </c>
      <c r="CK6" t="e">
        <f>AND(OUTPUT!#REF!,"AAAAAHb/+Vg=")</f>
        <v>#REF!</v>
      </c>
      <c r="CL6">
        <f>IF(OUTPUT!67:67,"AAAAAHb/+Vk=",0)</f>
        <v>0</v>
      </c>
      <c r="CM6" t="e">
        <f>AND(OUTPUT!C70,"AAAAAHb/+Vo=")</f>
        <v>#VALUE!</v>
      </c>
      <c r="CN6" t="e">
        <f>AND(OUTPUT!D70,"AAAAAHb/+Vs=")</f>
        <v>#VALUE!</v>
      </c>
      <c r="CO6" t="e">
        <f>AND(OUTPUT!E70,"AAAAAHb/+Vw=")</f>
        <v>#VALUE!</v>
      </c>
      <c r="CP6" t="e">
        <f>AND(OUTPUT!F70,"AAAAAHb/+V0=")</f>
        <v>#VALUE!</v>
      </c>
      <c r="CQ6" t="e">
        <f>AND(OUTPUT!G70,"AAAAAHb/+V4=")</f>
        <v>#VALUE!</v>
      </c>
      <c r="CR6" t="e">
        <f>AND(OUTPUT!I67,"AAAAAHb/+V8=")</f>
        <v>#VALUE!</v>
      </c>
      <c r="CS6" t="e">
        <f>AND(OUTPUT!#REF!,"AAAAAHb/+WA=")</f>
        <v>#REF!</v>
      </c>
      <c r="CT6" t="e">
        <f>AND(OUTPUT!#REF!,"AAAAAHb/+WE=")</f>
        <v>#REF!</v>
      </c>
      <c r="CU6" t="e">
        <f>AND(OUTPUT!#REF!,"AAAAAHb/+WI=")</f>
        <v>#REF!</v>
      </c>
      <c r="CV6" t="e">
        <f>AND(OUTPUT!#REF!,"AAAAAHb/+WM=")</f>
        <v>#REF!</v>
      </c>
      <c r="CW6" t="e">
        <f>AND(OUTPUT!#REF!,"AAAAAHb/+WQ=")</f>
        <v>#REF!</v>
      </c>
      <c r="CX6" t="e">
        <f>AND(OUTPUT!#REF!,"AAAAAHb/+WU=")</f>
        <v>#REF!</v>
      </c>
      <c r="CY6" t="e">
        <f>AND(OUTPUT!#REF!,"AAAAAHb/+WY=")</f>
        <v>#REF!</v>
      </c>
      <c r="CZ6">
        <f>IF(OUTPUT!68:68,"AAAAAHb/+Wc=",0)</f>
        <v>0</v>
      </c>
      <c r="DA6" t="e">
        <f>AND(OUTPUT!C71,"AAAAAHb/+Wg=")</f>
        <v>#VALUE!</v>
      </c>
      <c r="DB6" t="e">
        <f>AND(OUTPUT!D71,"AAAAAHb/+Wk=")</f>
        <v>#VALUE!</v>
      </c>
      <c r="DC6" t="e">
        <f>AND(OUTPUT!E71,"AAAAAHb/+Wo=")</f>
        <v>#VALUE!</v>
      </c>
      <c r="DD6" t="e">
        <f>AND(OUTPUT!F71,"AAAAAHb/+Ws=")</f>
        <v>#VALUE!</v>
      </c>
      <c r="DE6" t="e">
        <f>AND(OUTPUT!G71,"AAAAAHb/+Ww=")</f>
        <v>#VALUE!</v>
      </c>
      <c r="DF6" t="e">
        <f>AND(OUTPUT!I68,"AAAAAHb/+W0=")</f>
        <v>#VALUE!</v>
      </c>
      <c r="DG6" t="e">
        <f>AND(OUTPUT!#REF!,"AAAAAHb/+W4=")</f>
        <v>#REF!</v>
      </c>
      <c r="DH6" t="e">
        <f>AND(OUTPUT!#REF!,"AAAAAHb/+W8=")</f>
        <v>#REF!</v>
      </c>
      <c r="DI6" t="e">
        <f>AND(OUTPUT!#REF!,"AAAAAHb/+XA=")</f>
        <v>#REF!</v>
      </c>
      <c r="DJ6" t="e">
        <f>AND(OUTPUT!#REF!,"AAAAAHb/+XE=")</f>
        <v>#REF!</v>
      </c>
      <c r="DK6" t="e">
        <f>AND(OUTPUT!#REF!,"AAAAAHb/+XI=")</f>
        <v>#REF!</v>
      </c>
      <c r="DL6" t="e">
        <f>AND(OUTPUT!#REF!,"AAAAAHb/+XM=")</f>
        <v>#REF!</v>
      </c>
      <c r="DM6" t="e">
        <f>AND(OUTPUT!#REF!,"AAAAAHb/+XQ=")</f>
        <v>#REF!</v>
      </c>
      <c r="DN6">
        <f>IF(OUTPUT!69:69,"AAAAAHb/+XU=",0)</f>
        <v>0</v>
      </c>
      <c r="DO6" t="e">
        <f>AND(OUTPUT!C72,"AAAAAHb/+XY=")</f>
        <v>#VALUE!</v>
      </c>
      <c r="DP6" t="e">
        <f>AND(OUTPUT!D72,"AAAAAHb/+Xc=")</f>
        <v>#VALUE!</v>
      </c>
      <c r="DQ6" t="e">
        <f>AND(OUTPUT!E72,"AAAAAHb/+Xg=")</f>
        <v>#VALUE!</v>
      </c>
      <c r="DR6" t="e">
        <f>AND(OUTPUT!F72,"AAAAAHb/+Xk=")</f>
        <v>#VALUE!</v>
      </c>
      <c r="DS6" t="e">
        <f>AND(OUTPUT!G72,"AAAAAHb/+Xo=")</f>
        <v>#VALUE!</v>
      </c>
      <c r="DT6" t="e">
        <f>AND(OUTPUT!I69,"AAAAAHb/+Xs=")</f>
        <v>#VALUE!</v>
      </c>
      <c r="DU6" t="e">
        <f>AND(OUTPUT!#REF!,"AAAAAHb/+Xw=")</f>
        <v>#REF!</v>
      </c>
      <c r="DV6" t="e">
        <f>AND(OUTPUT!#REF!,"AAAAAHb/+X0=")</f>
        <v>#REF!</v>
      </c>
      <c r="DW6" t="e">
        <f>AND(OUTPUT!#REF!,"AAAAAHb/+X4=")</f>
        <v>#REF!</v>
      </c>
      <c r="DX6" t="e">
        <f>AND(OUTPUT!#REF!,"AAAAAHb/+X8=")</f>
        <v>#REF!</v>
      </c>
      <c r="DY6" t="e">
        <f>AND(OUTPUT!#REF!,"AAAAAHb/+YA=")</f>
        <v>#REF!</v>
      </c>
      <c r="DZ6" t="e">
        <f>AND(OUTPUT!#REF!,"AAAAAHb/+YE=")</f>
        <v>#REF!</v>
      </c>
      <c r="EA6" t="e">
        <f>AND(OUTPUT!#REF!,"AAAAAHb/+YI=")</f>
        <v>#REF!</v>
      </c>
      <c r="EB6">
        <f>IF(OUTPUT!70:70,"AAAAAHb/+YM=",0)</f>
        <v>0</v>
      </c>
      <c r="EC6" t="e">
        <f>AND(OUTPUT!C73,"AAAAAHb/+YQ=")</f>
        <v>#VALUE!</v>
      </c>
      <c r="ED6" t="e">
        <f>AND(OUTPUT!D73,"AAAAAHb/+YU=")</f>
        <v>#VALUE!</v>
      </c>
      <c r="EE6" t="e">
        <f>AND(OUTPUT!E73,"AAAAAHb/+YY=")</f>
        <v>#VALUE!</v>
      </c>
      <c r="EF6" t="e">
        <f>AND(OUTPUT!F73,"AAAAAHb/+Yc=")</f>
        <v>#VALUE!</v>
      </c>
      <c r="EG6" t="e">
        <f>AND(OUTPUT!G73,"AAAAAHb/+Yg=")</f>
        <v>#VALUE!</v>
      </c>
      <c r="EH6" t="e">
        <f>AND(OUTPUT!I70,"AAAAAHb/+Yk=")</f>
        <v>#VALUE!</v>
      </c>
      <c r="EI6" t="e">
        <f>AND(OUTPUT!#REF!,"AAAAAHb/+Yo=")</f>
        <v>#REF!</v>
      </c>
      <c r="EJ6" t="e">
        <f>AND(OUTPUT!#REF!,"AAAAAHb/+Ys=")</f>
        <v>#REF!</v>
      </c>
      <c r="EK6" t="e">
        <f>AND(OUTPUT!#REF!,"AAAAAHb/+Yw=")</f>
        <v>#REF!</v>
      </c>
      <c r="EL6" t="e">
        <f>AND(OUTPUT!#REF!,"AAAAAHb/+Y0=")</f>
        <v>#REF!</v>
      </c>
      <c r="EM6" t="e">
        <f>AND(OUTPUT!#REF!,"AAAAAHb/+Y4=")</f>
        <v>#REF!</v>
      </c>
      <c r="EN6" t="e">
        <f>AND(OUTPUT!#REF!,"AAAAAHb/+Y8=")</f>
        <v>#REF!</v>
      </c>
      <c r="EO6" t="e">
        <f>AND(OUTPUT!#REF!,"AAAAAHb/+ZA=")</f>
        <v>#REF!</v>
      </c>
      <c r="EP6">
        <f>IF(OUTPUT!71:71,"AAAAAHb/+ZE=",0)</f>
        <v>0</v>
      </c>
      <c r="EQ6" t="e">
        <f>AND(OUTPUT!C74,"AAAAAHb/+ZI=")</f>
        <v>#VALUE!</v>
      </c>
      <c r="ER6" t="e">
        <f>AND(OUTPUT!D74,"AAAAAHb/+ZM=")</f>
        <v>#VALUE!</v>
      </c>
      <c r="ES6" t="e">
        <f>AND(OUTPUT!E74,"AAAAAHb/+ZQ=")</f>
        <v>#VALUE!</v>
      </c>
      <c r="ET6" t="e">
        <f>AND(OUTPUT!F74,"AAAAAHb/+ZU=")</f>
        <v>#VALUE!</v>
      </c>
      <c r="EU6" t="e">
        <f>AND(OUTPUT!G74,"AAAAAHb/+ZY=")</f>
        <v>#VALUE!</v>
      </c>
      <c r="EV6" t="e">
        <f>AND(OUTPUT!I71,"AAAAAHb/+Zc=")</f>
        <v>#VALUE!</v>
      </c>
      <c r="EW6" t="e">
        <f>AND(OUTPUT!#REF!,"AAAAAHb/+Zg=")</f>
        <v>#REF!</v>
      </c>
      <c r="EX6" t="e">
        <f>AND(OUTPUT!#REF!,"AAAAAHb/+Zk=")</f>
        <v>#REF!</v>
      </c>
      <c r="EY6" t="e">
        <f>AND(OUTPUT!#REF!,"AAAAAHb/+Zo=")</f>
        <v>#REF!</v>
      </c>
      <c r="EZ6" t="e">
        <f>AND(OUTPUT!#REF!,"AAAAAHb/+Zs=")</f>
        <v>#REF!</v>
      </c>
      <c r="FA6" t="e">
        <f>AND(OUTPUT!#REF!,"AAAAAHb/+Zw=")</f>
        <v>#REF!</v>
      </c>
      <c r="FB6" t="e">
        <f>AND(OUTPUT!#REF!,"AAAAAHb/+Z0=")</f>
        <v>#REF!</v>
      </c>
      <c r="FC6" t="e">
        <f>AND(OUTPUT!#REF!,"AAAAAHb/+Z4=")</f>
        <v>#REF!</v>
      </c>
      <c r="FD6">
        <f>IF(OUTPUT!72:72,"AAAAAHb/+Z8=",0)</f>
        <v>0</v>
      </c>
      <c r="FE6" t="e">
        <f>AND(OUTPUT!C75,"AAAAAHb/+aA=")</f>
        <v>#VALUE!</v>
      </c>
      <c r="FF6" t="e">
        <f>AND(OUTPUT!D75,"AAAAAHb/+aE=")</f>
        <v>#VALUE!</v>
      </c>
      <c r="FG6" t="e">
        <f>AND(OUTPUT!E75,"AAAAAHb/+aI=")</f>
        <v>#VALUE!</v>
      </c>
      <c r="FH6" t="e">
        <f>AND(OUTPUT!F75,"AAAAAHb/+aM=")</f>
        <v>#VALUE!</v>
      </c>
      <c r="FI6" t="e">
        <f>AND(OUTPUT!G75,"AAAAAHb/+aQ=")</f>
        <v>#VALUE!</v>
      </c>
      <c r="FJ6" t="e">
        <f>AND(OUTPUT!I72,"AAAAAHb/+aU=")</f>
        <v>#VALUE!</v>
      </c>
      <c r="FK6" t="e">
        <f>AND(OUTPUT!#REF!,"AAAAAHb/+aY=")</f>
        <v>#REF!</v>
      </c>
      <c r="FL6" t="e">
        <f>AND(OUTPUT!#REF!,"AAAAAHb/+ac=")</f>
        <v>#REF!</v>
      </c>
      <c r="FM6" t="e">
        <f>AND(OUTPUT!#REF!,"AAAAAHb/+ag=")</f>
        <v>#REF!</v>
      </c>
      <c r="FN6" t="e">
        <f>AND(OUTPUT!#REF!,"AAAAAHb/+ak=")</f>
        <v>#REF!</v>
      </c>
      <c r="FO6" t="e">
        <f>AND(OUTPUT!#REF!,"AAAAAHb/+ao=")</f>
        <v>#REF!</v>
      </c>
      <c r="FP6" t="e">
        <f>AND(OUTPUT!#REF!,"AAAAAHb/+as=")</f>
        <v>#REF!</v>
      </c>
      <c r="FQ6" t="e">
        <f>AND(OUTPUT!#REF!,"AAAAAHb/+aw=")</f>
        <v>#REF!</v>
      </c>
      <c r="FR6">
        <f>IF(OUTPUT!73:73,"AAAAAHb/+a0=",0)</f>
        <v>0</v>
      </c>
      <c r="FS6" t="e">
        <f>AND(OUTPUT!C76,"AAAAAHb/+a4=")</f>
        <v>#VALUE!</v>
      </c>
      <c r="FT6" t="e">
        <f>AND(OUTPUT!D76,"AAAAAHb/+a8=")</f>
        <v>#VALUE!</v>
      </c>
      <c r="FU6" t="e">
        <f>AND(OUTPUT!E76,"AAAAAHb/+bA=")</f>
        <v>#VALUE!</v>
      </c>
      <c r="FV6" t="e">
        <f>AND(OUTPUT!F76,"AAAAAHb/+bE=")</f>
        <v>#VALUE!</v>
      </c>
      <c r="FW6" t="e">
        <f>AND(OUTPUT!G76,"AAAAAHb/+bI=")</f>
        <v>#VALUE!</v>
      </c>
      <c r="FX6" t="e">
        <f>AND(OUTPUT!I73,"AAAAAHb/+bM=")</f>
        <v>#VALUE!</v>
      </c>
      <c r="FY6" t="e">
        <f>AND(OUTPUT!#REF!,"AAAAAHb/+bQ=")</f>
        <v>#REF!</v>
      </c>
      <c r="FZ6" t="e">
        <f>AND(OUTPUT!#REF!,"AAAAAHb/+bU=")</f>
        <v>#REF!</v>
      </c>
      <c r="GA6" t="e">
        <f>AND(OUTPUT!#REF!,"AAAAAHb/+bY=")</f>
        <v>#REF!</v>
      </c>
      <c r="GB6" t="e">
        <f>AND(OUTPUT!#REF!,"AAAAAHb/+bc=")</f>
        <v>#REF!</v>
      </c>
      <c r="GC6" t="e">
        <f>AND(OUTPUT!#REF!,"AAAAAHb/+bg=")</f>
        <v>#REF!</v>
      </c>
      <c r="GD6" t="e">
        <f>AND(OUTPUT!#REF!,"AAAAAHb/+bk=")</f>
        <v>#REF!</v>
      </c>
      <c r="GE6" t="e">
        <f>AND(OUTPUT!#REF!,"AAAAAHb/+bo=")</f>
        <v>#REF!</v>
      </c>
      <c r="GF6">
        <f>IF(OUTPUT!74:74,"AAAAAHb/+bs=",0)</f>
        <v>0</v>
      </c>
      <c r="GG6" t="e">
        <f>AND(OUTPUT!C77,"AAAAAHb/+bw=")</f>
        <v>#VALUE!</v>
      </c>
      <c r="GH6" t="e">
        <f>AND(OUTPUT!D77,"AAAAAHb/+b0=")</f>
        <v>#VALUE!</v>
      </c>
      <c r="GI6" t="e">
        <f>AND(OUTPUT!E77,"AAAAAHb/+b4=")</f>
        <v>#VALUE!</v>
      </c>
      <c r="GJ6" t="e">
        <f>AND(OUTPUT!F77,"AAAAAHb/+b8=")</f>
        <v>#VALUE!</v>
      </c>
      <c r="GK6" t="e">
        <f>AND(OUTPUT!G77,"AAAAAHb/+cA=")</f>
        <v>#VALUE!</v>
      </c>
      <c r="GL6" t="e">
        <f>AND(OUTPUT!I74,"AAAAAHb/+cE=")</f>
        <v>#VALUE!</v>
      </c>
      <c r="GM6" t="e">
        <f>AND(OUTPUT!#REF!,"AAAAAHb/+cI=")</f>
        <v>#REF!</v>
      </c>
      <c r="GN6" t="e">
        <f>AND(OUTPUT!#REF!,"AAAAAHb/+cM=")</f>
        <v>#REF!</v>
      </c>
      <c r="GO6" t="e">
        <f>AND(OUTPUT!#REF!,"AAAAAHb/+cQ=")</f>
        <v>#REF!</v>
      </c>
      <c r="GP6" t="e">
        <f>AND(OUTPUT!#REF!,"AAAAAHb/+cU=")</f>
        <v>#REF!</v>
      </c>
      <c r="GQ6" t="e">
        <f>AND(OUTPUT!#REF!,"AAAAAHb/+cY=")</f>
        <v>#REF!</v>
      </c>
      <c r="GR6" t="e">
        <f>AND(OUTPUT!#REF!,"AAAAAHb/+cc=")</f>
        <v>#REF!</v>
      </c>
      <c r="GS6" t="e">
        <f>AND(OUTPUT!#REF!,"AAAAAHb/+cg=")</f>
        <v>#REF!</v>
      </c>
      <c r="GT6">
        <f>IF(OUTPUT!75:75,"AAAAAHb/+ck=",0)</f>
        <v>0</v>
      </c>
      <c r="GU6" t="e">
        <f>AND(OUTPUT!C78,"AAAAAHb/+co=")</f>
        <v>#VALUE!</v>
      </c>
      <c r="GV6" t="e">
        <f>AND(OUTPUT!D78,"AAAAAHb/+cs=")</f>
        <v>#VALUE!</v>
      </c>
      <c r="GW6" t="e">
        <f>AND(OUTPUT!E78,"AAAAAHb/+cw=")</f>
        <v>#VALUE!</v>
      </c>
      <c r="GX6" t="e">
        <f>AND(OUTPUT!F78,"AAAAAHb/+c0=")</f>
        <v>#VALUE!</v>
      </c>
      <c r="GY6" t="e">
        <f>AND(OUTPUT!G78,"AAAAAHb/+c4=")</f>
        <v>#VALUE!</v>
      </c>
      <c r="GZ6" t="e">
        <f>AND(OUTPUT!I75,"AAAAAHb/+c8=")</f>
        <v>#VALUE!</v>
      </c>
      <c r="HA6" t="e">
        <f>AND(OUTPUT!#REF!,"AAAAAHb/+dA=")</f>
        <v>#REF!</v>
      </c>
      <c r="HB6" t="e">
        <f>AND(OUTPUT!#REF!,"AAAAAHb/+dE=")</f>
        <v>#REF!</v>
      </c>
      <c r="HC6" t="e">
        <f>AND(OUTPUT!#REF!,"AAAAAHb/+dI=")</f>
        <v>#REF!</v>
      </c>
      <c r="HD6" t="e">
        <f>AND(OUTPUT!#REF!,"AAAAAHb/+dM=")</f>
        <v>#REF!</v>
      </c>
      <c r="HE6" t="e">
        <f>AND(OUTPUT!#REF!,"AAAAAHb/+dQ=")</f>
        <v>#REF!</v>
      </c>
      <c r="HF6" t="e">
        <f>AND(OUTPUT!#REF!,"AAAAAHb/+dU=")</f>
        <v>#REF!</v>
      </c>
      <c r="HG6" t="e">
        <f>AND(OUTPUT!#REF!,"AAAAAHb/+dY=")</f>
        <v>#REF!</v>
      </c>
      <c r="HH6">
        <f>IF(OUTPUT!76:76,"AAAAAHb/+dc=",0)</f>
        <v>0</v>
      </c>
      <c r="HI6" t="e">
        <f>AND(OUTPUT!C79,"AAAAAHb/+dg=")</f>
        <v>#VALUE!</v>
      </c>
      <c r="HJ6" t="e">
        <f>AND(OUTPUT!D79,"AAAAAHb/+dk=")</f>
        <v>#VALUE!</v>
      </c>
      <c r="HK6" t="e">
        <f>AND(OUTPUT!E79,"AAAAAHb/+do=")</f>
        <v>#VALUE!</v>
      </c>
      <c r="HL6" t="e">
        <f>AND(OUTPUT!F79,"AAAAAHb/+ds=")</f>
        <v>#VALUE!</v>
      </c>
      <c r="HM6" t="e">
        <f>AND(OUTPUT!G79,"AAAAAHb/+dw=")</f>
        <v>#VALUE!</v>
      </c>
      <c r="HN6" t="e">
        <f>AND(OUTPUT!I76,"AAAAAHb/+d0=")</f>
        <v>#VALUE!</v>
      </c>
      <c r="HO6" t="e">
        <f>AND(OUTPUT!#REF!,"AAAAAHb/+d4=")</f>
        <v>#REF!</v>
      </c>
      <c r="HP6" t="e">
        <f>AND(OUTPUT!#REF!,"AAAAAHb/+d8=")</f>
        <v>#REF!</v>
      </c>
      <c r="HQ6" t="e">
        <f>AND(OUTPUT!#REF!,"AAAAAHb/+eA=")</f>
        <v>#REF!</v>
      </c>
      <c r="HR6" t="e">
        <f>AND(OUTPUT!#REF!,"AAAAAHb/+eE=")</f>
        <v>#REF!</v>
      </c>
      <c r="HS6" t="e">
        <f>AND(OUTPUT!#REF!,"AAAAAHb/+eI=")</f>
        <v>#REF!</v>
      </c>
      <c r="HT6" t="e">
        <f>AND(OUTPUT!#REF!,"AAAAAHb/+eM=")</f>
        <v>#REF!</v>
      </c>
      <c r="HU6" t="e">
        <f>AND(OUTPUT!#REF!,"AAAAAHb/+eQ=")</f>
        <v>#REF!</v>
      </c>
      <c r="HV6">
        <f>IF(OUTPUT!77:77,"AAAAAHb/+eU=",0)</f>
        <v>0</v>
      </c>
      <c r="HW6" t="e">
        <f>AND(OUTPUT!C80,"AAAAAHb/+eY=")</f>
        <v>#VALUE!</v>
      </c>
      <c r="HX6" t="e">
        <f>AND(OUTPUT!D80,"AAAAAHb/+ec=")</f>
        <v>#VALUE!</v>
      </c>
      <c r="HY6" t="e">
        <f>AND(OUTPUT!E80,"AAAAAHb/+eg=")</f>
        <v>#VALUE!</v>
      </c>
      <c r="HZ6" t="e">
        <f>AND(OUTPUT!F80,"AAAAAHb/+ek=")</f>
        <v>#VALUE!</v>
      </c>
      <c r="IA6" t="e">
        <f>AND(OUTPUT!G80,"AAAAAHb/+eo=")</f>
        <v>#VALUE!</v>
      </c>
      <c r="IB6" t="e">
        <f>AND(OUTPUT!I77,"AAAAAHb/+es=")</f>
        <v>#VALUE!</v>
      </c>
      <c r="IC6" t="e">
        <f>AND(OUTPUT!#REF!,"AAAAAHb/+ew=")</f>
        <v>#REF!</v>
      </c>
      <c r="ID6" t="e">
        <f>AND(OUTPUT!#REF!,"AAAAAHb/+e0=")</f>
        <v>#REF!</v>
      </c>
      <c r="IE6" t="e">
        <f>AND(OUTPUT!#REF!,"AAAAAHb/+e4=")</f>
        <v>#REF!</v>
      </c>
      <c r="IF6" t="e">
        <f>AND(OUTPUT!#REF!,"AAAAAHb/+e8=")</f>
        <v>#REF!</v>
      </c>
      <c r="IG6" t="e">
        <f>AND(OUTPUT!#REF!,"AAAAAHb/+fA=")</f>
        <v>#REF!</v>
      </c>
      <c r="IH6" t="e">
        <f>AND(OUTPUT!#REF!,"AAAAAHb/+fE=")</f>
        <v>#REF!</v>
      </c>
      <c r="II6" t="e">
        <f>AND(OUTPUT!#REF!,"AAAAAHb/+fI=")</f>
        <v>#REF!</v>
      </c>
      <c r="IJ6">
        <f>IF(OUTPUT!78:78,"AAAAAHb/+fM=",0)</f>
        <v>0</v>
      </c>
      <c r="IK6" t="e">
        <f>AND(OUTPUT!C81,"AAAAAHb/+fQ=")</f>
        <v>#VALUE!</v>
      </c>
      <c r="IL6" t="e">
        <f>AND(OUTPUT!D81,"AAAAAHb/+fU=")</f>
        <v>#VALUE!</v>
      </c>
      <c r="IM6" t="e">
        <f>AND(OUTPUT!E81,"AAAAAHb/+fY=")</f>
        <v>#VALUE!</v>
      </c>
      <c r="IN6" t="e">
        <f>AND(OUTPUT!F81,"AAAAAHb/+fc=")</f>
        <v>#VALUE!</v>
      </c>
      <c r="IO6" t="e">
        <f>AND(OUTPUT!G81,"AAAAAHb/+fg=")</f>
        <v>#VALUE!</v>
      </c>
      <c r="IP6" t="e">
        <f>AND(OUTPUT!I78,"AAAAAHb/+fk=")</f>
        <v>#VALUE!</v>
      </c>
      <c r="IQ6" t="e">
        <f>AND(OUTPUT!#REF!,"AAAAAHb/+fo=")</f>
        <v>#REF!</v>
      </c>
      <c r="IR6" t="e">
        <f>AND(OUTPUT!#REF!,"AAAAAHb/+fs=")</f>
        <v>#REF!</v>
      </c>
      <c r="IS6" t="e">
        <f>AND(OUTPUT!#REF!,"AAAAAHb/+fw=")</f>
        <v>#REF!</v>
      </c>
      <c r="IT6" t="e">
        <f>AND(OUTPUT!#REF!,"AAAAAHb/+f0=")</f>
        <v>#REF!</v>
      </c>
      <c r="IU6" t="e">
        <f>AND(OUTPUT!#REF!,"AAAAAHb/+f4=")</f>
        <v>#REF!</v>
      </c>
      <c r="IV6" t="e">
        <f>AND(OUTPUT!#REF!,"AAAAAHb/+f8=")</f>
        <v>#REF!</v>
      </c>
    </row>
    <row r="7" spans="1:256" x14ac:dyDescent="0.2">
      <c r="A7" t="e">
        <f>AND(OUTPUT!#REF!,"AAAAAGtnbQA=")</f>
        <v>#REF!</v>
      </c>
      <c r="B7">
        <f>IF(OUTPUT!79:79,"AAAAAGtnbQE=",0)</f>
        <v>0</v>
      </c>
      <c r="C7" t="e">
        <f>AND(OUTPUT!C82,"AAAAAGtnbQI=")</f>
        <v>#VALUE!</v>
      </c>
      <c r="D7" t="e">
        <f>AND(OUTPUT!D82,"AAAAAGtnbQM=")</f>
        <v>#VALUE!</v>
      </c>
      <c r="E7" t="e">
        <f>AND(OUTPUT!E82,"AAAAAGtnbQQ=")</f>
        <v>#VALUE!</v>
      </c>
      <c r="F7" t="e">
        <f>AND(OUTPUT!F82,"AAAAAGtnbQU=")</f>
        <v>#VALUE!</v>
      </c>
      <c r="G7" t="e">
        <f>AND(OUTPUT!G82,"AAAAAGtnbQY=")</f>
        <v>#VALUE!</v>
      </c>
      <c r="H7" t="e">
        <f>AND(OUTPUT!I79,"AAAAAGtnbQc=")</f>
        <v>#VALUE!</v>
      </c>
      <c r="I7" t="e">
        <f>AND(OUTPUT!#REF!,"AAAAAGtnbQg=")</f>
        <v>#REF!</v>
      </c>
      <c r="J7" t="e">
        <f>AND(OUTPUT!#REF!,"AAAAAGtnbQk=")</f>
        <v>#REF!</v>
      </c>
      <c r="K7" t="e">
        <f>AND(OUTPUT!#REF!,"AAAAAGtnbQo=")</f>
        <v>#REF!</v>
      </c>
      <c r="L7" t="e">
        <f>AND(OUTPUT!#REF!,"AAAAAGtnbQs=")</f>
        <v>#REF!</v>
      </c>
      <c r="M7" t="e">
        <f>AND(OUTPUT!#REF!,"AAAAAGtnbQw=")</f>
        <v>#REF!</v>
      </c>
      <c r="N7" t="e">
        <f>AND(OUTPUT!#REF!,"AAAAAGtnbQ0=")</f>
        <v>#REF!</v>
      </c>
      <c r="O7" t="e">
        <f>AND(OUTPUT!#REF!,"AAAAAGtnbQ4=")</f>
        <v>#REF!</v>
      </c>
      <c r="P7">
        <f>IF(OUTPUT!80:80,"AAAAAGtnbQ8=",0)</f>
        <v>0</v>
      </c>
      <c r="Q7" t="e">
        <f>AND(OUTPUT!C83,"AAAAAGtnbRA=")</f>
        <v>#VALUE!</v>
      </c>
      <c r="R7" t="e">
        <f>AND(OUTPUT!D83,"AAAAAGtnbRE=")</f>
        <v>#VALUE!</v>
      </c>
      <c r="S7" t="e">
        <f>AND(OUTPUT!E83,"AAAAAGtnbRI=")</f>
        <v>#VALUE!</v>
      </c>
      <c r="T7" t="e">
        <f>AND(OUTPUT!F83,"AAAAAGtnbRM=")</f>
        <v>#VALUE!</v>
      </c>
      <c r="U7" t="e">
        <f>AND(OUTPUT!G83,"AAAAAGtnbRQ=")</f>
        <v>#VALUE!</v>
      </c>
      <c r="V7" t="e">
        <f>AND(OUTPUT!I80,"AAAAAGtnbRU=")</f>
        <v>#VALUE!</v>
      </c>
      <c r="W7" t="e">
        <f>AND(OUTPUT!#REF!,"AAAAAGtnbRY=")</f>
        <v>#REF!</v>
      </c>
      <c r="X7" t="e">
        <f>AND(OUTPUT!#REF!,"AAAAAGtnbRc=")</f>
        <v>#REF!</v>
      </c>
      <c r="Y7" t="e">
        <f>AND(OUTPUT!#REF!,"AAAAAGtnbRg=")</f>
        <v>#REF!</v>
      </c>
      <c r="Z7" t="e">
        <f>AND(OUTPUT!#REF!,"AAAAAGtnbRk=")</f>
        <v>#REF!</v>
      </c>
      <c r="AA7" t="e">
        <f>AND(OUTPUT!#REF!,"AAAAAGtnbRo=")</f>
        <v>#REF!</v>
      </c>
      <c r="AB7" t="e">
        <f>AND(OUTPUT!#REF!,"AAAAAGtnbRs=")</f>
        <v>#REF!</v>
      </c>
      <c r="AC7" t="e">
        <f>AND(OUTPUT!#REF!,"AAAAAGtnbRw=")</f>
        <v>#REF!</v>
      </c>
      <c r="AD7">
        <f>IF(OUTPUT!81:81,"AAAAAGtnbR0=",0)</f>
        <v>0</v>
      </c>
      <c r="AE7" t="e">
        <f>AND(OUTPUT!C84,"AAAAAGtnbR4=")</f>
        <v>#VALUE!</v>
      </c>
      <c r="AF7" t="e">
        <f>AND(OUTPUT!D84,"AAAAAGtnbR8=")</f>
        <v>#VALUE!</v>
      </c>
      <c r="AG7" t="e">
        <f>AND(OUTPUT!E84,"AAAAAGtnbSA=")</f>
        <v>#VALUE!</v>
      </c>
      <c r="AH7" t="e">
        <f>AND(OUTPUT!F84,"AAAAAGtnbSE=")</f>
        <v>#VALUE!</v>
      </c>
      <c r="AI7" t="e">
        <f>AND(OUTPUT!G84,"AAAAAGtnbSI=")</f>
        <v>#VALUE!</v>
      </c>
      <c r="AJ7" t="e">
        <f>AND(OUTPUT!I81,"AAAAAGtnbSM=")</f>
        <v>#VALUE!</v>
      </c>
      <c r="AK7" t="e">
        <f>AND(OUTPUT!#REF!,"AAAAAGtnbSQ=")</f>
        <v>#REF!</v>
      </c>
      <c r="AL7" t="e">
        <f>AND(OUTPUT!#REF!,"AAAAAGtnbSU=")</f>
        <v>#REF!</v>
      </c>
      <c r="AM7" t="e">
        <f>AND(OUTPUT!#REF!,"AAAAAGtnbSY=")</f>
        <v>#REF!</v>
      </c>
      <c r="AN7" t="e">
        <f>AND(OUTPUT!#REF!,"AAAAAGtnbSc=")</f>
        <v>#REF!</v>
      </c>
      <c r="AO7" t="e">
        <f>AND(OUTPUT!#REF!,"AAAAAGtnbSg=")</f>
        <v>#REF!</v>
      </c>
      <c r="AP7" t="e">
        <f>AND(OUTPUT!#REF!,"AAAAAGtnbSk=")</f>
        <v>#REF!</v>
      </c>
      <c r="AQ7" t="e">
        <f>AND(OUTPUT!#REF!,"AAAAAGtnbSo=")</f>
        <v>#REF!</v>
      </c>
      <c r="AR7">
        <f>IF(OUTPUT!82:82,"AAAAAGtnbSs=",0)</f>
        <v>0</v>
      </c>
      <c r="AS7" t="e">
        <f>AND(OUTPUT!C85,"AAAAAGtnbSw=")</f>
        <v>#VALUE!</v>
      </c>
      <c r="AT7" t="e">
        <f>AND(OUTPUT!D85,"AAAAAGtnbS0=")</f>
        <v>#VALUE!</v>
      </c>
      <c r="AU7" t="e">
        <f>AND(OUTPUT!E85,"AAAAAGtnbS4=")</f>
        <v>#VALUE!</v>
      </c>
      <c r="AV7" t="e">
        <f>AND(OUTPUT!F85,"AAAAAGtnbS8=")</f>
        <v>#VALUE!</v>
      </c>
      <c r="AW7" t="e">
        <f>AND(OUTPUT!G85,"AAAAAGtnbTA=")</f>
        <v>#VALUE!</v>
      </c>
      <c r="AX7" t="e">
        <f>AND(OUTPUT!I82,"AAAAAGtnbTE=")</f>
        <v>#VALUE!</v>
      </c>
      <c r="AY7" t="e">
        <f>AND(OUTPUT!#REF!,"AAAAAGtnbTI=")</f>
        <v>#REF!</v>
      </c>
      <c r="AZ7" t="e">
        <f>AND(OUTPUT!#REF!,"AAAAAGtnbTM=")</f>
        <v>#REF!</v>
      </c>
      <c r="BA7" t="e">
        <f>AND(OUTPUT!#REF!,"AAAAAGtnbTQ=")</f>
        <v>#REF!</v>
      </c>
      <c r="BB7" t="e">
        <f>AND(OUTPUT!#REF!,"AAAAAGtnbTU=")</f>
        <v>#REF!</v>
      </c>
      <c r="BC7" t="e">
        <f>AND(OUTPUT!#REF!,"AAAAAGtnbTY=")</f>
        <v>#REF!</v>
      </c>
      <c r="BD7" t="e">
        <f>AND(OUTPUT!#REF!,"AAAAAGtnbTc=")</f>
        <v>#REF!</v>
      </c>
      <c r="BE7" t="e">
        <f>AND(OUTPUT!#REF!,"AAAAAGtnbTg=")</f>
        <v>#REF!</v>
      </c>
      <c r="BF7">
        <f>IF(OUTPUT!83:83,"AAAAAGtnbTk=",0)</f>
        <v>0</v>
      </c>
      <c r="BG7" t="e">
        <f>AND(OUTPUT!C86,"AAAAAGtnbTo=")</f>
        <v>#VALUE!</v>
      </c>
      <c r="BH7" t="e">
        <f>AND(OUTPUT!D86,"AAAAAGtnbTs=")</f>
        <v>#VALUE!</v>
      </c>
      <c r="BI7" t="e">
        <f>AND(OUTPUT!E86,"AAAAAGtnbTw=")</f>
        <v>#VALUE!</v>
      </c>
      <c r="BJ7" t="e">
        <f>AND(OUTPUT!F86,"AAAAAGtnbT0=")</f>
        <v>#VALUE!</v>
      </c>
      <c r="BK7" t="e">
        <f>AND(OUTPUT!G86,"AAAAAGtnbT4=")</f>
        <v>#VALUE!</v>
      </c>
      <c r="BL7" t="e">
        <f>AND(OUTPUT!I83,"AAAAAGtnbT8=")</f>
        <v>#VALUE!</v>
      </c>
      <c r="BM7" t="e">
        <f>AND(OUTPUT!#REF!,"AAAAAGtnbUA=")</f>
        <v>#REF!</v>
      </c>
      <c r="BN7" t="e">
        <f>AND(OUTPUT!#REF!,"AAAAAGtnbUE=")</f>
        <v>#REF!</v>
      </c>
      <c r="BO7" t="e">
        <f>AND(OUTPUT!#REF!,"AAAAAGtnbUI=")</f>
        <v>#REF!</v>
      </c>
      <c r="BP7" t="e">
        <f>AND(OUTPUT!#REF!,"AAAAAGtnbUM=")</f>
        <v>#REF!</v>
      </c>
      <c r="BQ7" t="e">
        <f>AND(OUTPUT!#REF!,"AAAAAGtnbUQ=")</f>
        <v>#REF!</v>
      </c>
      <c r="BR7" t="e">
        <f>AND(OUTPUT!#REF!,"AAAAAGtnbUU=")</f>
        <v>#REF!</v>
      </c>
      <c r="BS7" t="e">
        <f>AND(OUTPUT!#REF!,"AAAAAGtnbUY=")</f>
        <v>#REF!</v>
      </c>
      <c r="BT7">
        <f>IF(OUTPUT!84:84,"AAAAAGtnbUc=",0)</f>
        <v>0</v>
      </c>
      <c r="BU7" t="e">
        <f>AND(OUTPUT!C87,"AAAAAGtnbUg=")</f>
        <v>#VALUE!</v>
      </c>
      <c r="BV7" t="e">
        <f>AND(OUTPUT!D87,"AAAAAGtnbUk=")</f>
        <v>#VALUE!</v>
      </c>
      <c r="BW7" t="e">
        <f>AND(OUTPUT!E87,"AAAAAGtnbUo=")</f>
        <v>#VALUE!</v>
      </c>
      <c r="BX7" t="e">
        <f>AND(OUTPUT!F87,"AAAAAGtnbUs=")</f>
        <v>#VALUE!</v>
      </c>
      <c r="BY7" t="e">
        <f>AND(OUTPUT!G87,"AAAAAGtnbUw=")</f>
        <v>#VALUE!</v>
      </c>
      <c r="BZ7" t="e">
        <f>AND(OUTPUT!I84,"AAAAAGtnbU0=")</f>
        <v>#VALUE!</v>
      </c>
      <c r="CA7" t="e">
        <f>AND(OUTPUT!#REF!,"AAAAAGtnbU4=")</f>
        <v>#REF!</v>
      </c>
      <c r="CB7" t="e">
        <f>AND(OUTPUT!#REF!,"AAAAAGtnbU8=")</f>
        <v>#REF!</v>
      </c>
      <c r="CC7" t="e">
        <f>AND(OUTPUT!#REF!,"AAAAAGtnbVA=")</f>
        <v>#REF!</v>
      </c>
      <c r="CD7" t="e">
        <f>AND(OUTPUT!#REF!,"AAAAAGtnbVE=")</f>
        <v>#REF!</v>
      </c>
      <c r="CE7" t="e">
        <f>AND(OUTPUT!#REF!,"AAAAAGtnbVI=")</f>
        <v>#REF!</v>
      </c>
      <c r="CF7" t="e">
        <f>AND(OUTPUT!#REF!,"AAAAAGtnbVM=")</f>
        <v>#REF!</v>
      </c>
      <c r="CG7" t="e">
        <f>AND(OUTPUT!#REF!,"AAAAAGtnbVQ=")</f>
        <v>#REF!</v>
      </c>
      <c r="CH7">
        <f>IF(OUTPUT!85:85,"AAAAAGtnbVU=",0)</f>
        <v>0</v>
      </c>
      <c r="CI7" t="e">
        <f>AND(OUTPUT!C88,"AAAAAGtnbVY=")</f>
        <v>#VALUE!</v>
      </c>
      <c r="CJ7" t="e">
        <f>AND(OUTPUT!D88,"AAAAAGtnbVc=")</f>
        <v>#VALUE!</v>
      </c>
      <c r="CK7" t="e">
        <f>AND(OUTPUT!E88,"AAAAAGtnbVg=")</f>
        <v>#VALUE!</v>
      </c>
      <c r="CL7" t="e">
        <f>AND(OUTPUT!F88,"AAAAAGtnbVk=")</f>
        <v>#VALUE!</v>
      </c>
      <c r="CM7" t="e">
        <f>AND(OUTPUT!G88,"AAAAAGtnbVo=")</f>
        <v>#VALUE!</v>
      </c>
      <c r="CN7" t="e">
        <f>AND(OUTPUT!I85,"AAAAAGtnbVs=")</f>
        <v>#VALUE!</v>
      </c>
      <c r="CO7" t="e">
        <f>AND(OUTPUT!#REF!,"AAAAAGtnbVw=")</f>
        <v>#REF!</v>
      </c>
      <c r="CP7" t="e">
        <f>AND(OUTPUT!#REF!,"AAAAAGtnbV0=")</f>
        <v>#REF!</v>
      </c>
      <c r="CQ7" t="e">
        <f>AND(OUTPUT!#REF!,"AAAAAGtnbV4=")</f>
        <v>#REF!</v>
      </c>
      <c r="CR7" t="e">
        <f>AND(OUTPUT!#REF!,"AAAAAGtnbV8=")</f>
        <v>#REF!</v>
      </c>
      <c r="CS7" t="e">
        <f>AND(OUTPUT!#REF!,"AAAAAGtnbWA=")</f>
        <v>#REF!</v>
      </c>
      <c r="CT7" t="e">
        <f>AND(OUTPUT!#REF!,"AAAAAGtnbWE=")</f>
        <v>#REF!</v>
      </c>
      <c r="CU7" t="e">
        <f>AND(OUTPUT!#REF!,"AAAAAGtnbWI=")</f>
        <v>#REF!</v>
      </c>
      <c r="CV7">
        <f>IF(OUTPUT!86:86,"AAAAAGtnbWM=",0)</f>
        <v>0</v>
      </c>
      <c r="CW7" t="e">
        <f>AND(OUTPUT!C89,"AAAAAGtnbWQ=")</f>
        <v>#VALUE!</v>
      </c>
      <c r="CX7" t="e">
        <f>AND(OUTPUT!D89,"AAAAAGtnbWU=")</f>
        <v>#VALUE!</v>
      </c>
      <c r="CY7" t="e">
        <f>AND(OUTPUT!E89,"AAAAAGtnbWY=")</f>
        <v>#VALUE!</v>
      </c>
      <c r="CZ7" t="e">
        <f>AND(OUTPUT!F89,"AAAAAGtnbWc=")</f>
        <v>#VALUE!</v>
      </c>
      <c r="DA7" t="e">
        <f>AND(OUTPUT!G89,"AAAAAGtnbWg=")</f>
        <v>#VALUE!</v>
      </c>
      <c r="DB7" t="e">
        <f>AND(OUTPUT!I86,"AAAAAGtnbWk=")</f>
        <v>#VALUE!</v>
      </c>
      <c r="DC7" t="e">
        <f>AND(OUTPUT!#REF!,"AAAAAGtnbWo=")</f>
        <v>#REF!</v>
      </c>
      <c r="DD7" t="e">
        <f>AND(OUTPUT!#REF!,"AAAAAGtnbWs=")</f>
        <v>#REF!</v>
      </c>
      <c r="DE7" t="e">
        <f>AND(OUTPUT!#REF!,"AAAAAGtnbWw=")</f>
        <v>#REF!</v>
      </c>
      <c r="DF7" t="e">
        <f>AND(OUTPUT!#REF!,"AAAAAGtnbW0=")</f>
        <v>#REF!</v>
      </c>
      <c r="DG7" t="e">
        <f>AND(OUTPUT!#REF!,"AAAAAGtnbW4=")</f>
        <v>#REF!</v>
      </c>
      <c r="DH7" t="e">
        <f>AND(OUTPUT!#REF!,"AAAAAGtnbW8=")</f>
        <v>#REF!</v>
      </c>
      <c r="DI7" t="e">
        <f>AND(OUTPUT!#REF!,"AAAAAGtnbXA=")</f>
        <v>#REF!</v>
      </c>
      <c r="DJ7">
        <f>IF(OUTPUT!87:87,"AAAAAGtnbXE=",0)</f>
        <v>0</v>
      </c>
      <c r="DK7" t="e">
        <f>AND(OUTPUT!C90,"AAAAAGtnbXI=")</f>
        <v>#VALUE!</v>
      </c>
      <c r="DL7" t="e">
        <f>AND(OUTPUT!D90,"AAAAAGtnbXM=")</f>
        <v>#VALUE!</v>
      </c>
      <c r="DM7" t="e">
        <f>AND(OUTPUT!E90,"AAAAAGtnbXQ=")</f>
        <v>#VALUE!</v>
      </c>
      <c r="DN7" t="e">
        <f>AND(OUTPUT!F90,"AAAAAGtnbXU=")</f>
        <v>#VALUE!</v>
      </c>
      <c r="DO7" t="e">
        <f>AND(OUTPUT!G90,"AAAAAGtnbXY=")</f>
        <v>#VALUE!</v>
      </c>
      <c r="DP7" t="e">
        <f>AND(OUTPUT!I87,"AAAAAGtnbXc=")</f>
        <v>#VALUE!</v>
      </c>
      <c r="DQ7" t="e">
        <f>AND(OUTPUT!#REF!,"AAAAAGtnbXg=")</f>
        <v>#REF!</v>
      </c>
      <c r="DR7" t="e">
        <f>AND(OUTPUT!#REF!,"AAAAAGtnbXk=")</f>
        <v>#REF!</v>
      </c>
      <c r="DS7" t="e">
        <f>AND(OUTPUT!#REF!,"AAAAAGtnbXo=")</f>
        <v>#REF!</v>
      </c>
      <c r="DT7" t="e">
        <f>AND(OUTPUT!#REF!,"AAAAAGtnbXs=")</f>
        <v>#REF!</v>
      </c>
      <c r="DU7" t="e">
        <f>AND(OUTPUT!#REF!,"AAAAAGtnbXw=")</f>
        <v>#REF!</v>
      </c>
      <c r="DV7" t="e">
        <f>AND(OUTPUT!#REF!,"AAAAAGtnbX0=")</f>
        <v>#REF!</v>
      </c>
      <c r="DW7" t="e">
        <f>AND(OUTPUT!#REF!,"AAAAAGtnbX4=")</f>
        <v>#REF!</v>
      </c>
      <c r="DX7">
        <f>IF(OUTPUT!88:88,"AAAAAGtnbX8=",0)</f>
        <v>0</v>
      </c>
      <c r="DY7" t="e">
        <f>AND(OUTPUT!C91,"AAAAAGtnbYA=")</f>
        <v>#VALUE!</v>
      </c>
      <c r="DZ7" t="e">
        <f>AND(OUTPUT!D91,"AAAAAGtnbYE=")</f>
        <v>#VALUE!</v>
      </c>
      <c r="EA7" t="e">
        <f>AND(OUTPUT!E91,"AAAAAGtnbYI=")</f>
        <v>#VALUE!</v>
      </c>
      <c r="EB7" t="e">
        <f>AND(OUTPUT!F91,"AAAAAGtnbYM=")</f>
        <v>#VALUE!</v>
      </c>
      <c r="EC7" t="e">
        <f>AND(OUTPUT!G91,"AAAAAGtnbYQ=")</f>
        <v>#VALUE!</v>
      </c>
      <c r="ED7" t="e">
        <f>AND(OUTPUT!I88,"AAAAAGtnbYU=")</f>
        <v>#VALUE!</v>
      </c>
      <c r="EE7" t="e">
        <f>AND(OUTPUT!#REF!,"AAAAAGtnbYY=")</f>
        <v>#REF!</v>
      </c>
      <c r="EF7" t="e">
        <f>AND(OUTPUT!#REF!,"AAAAAGtnbYc=")</f>
        <v>#REF!</v>
      </c>
      <c r="EG7" t="e">
        <f>AND(OUTPUT!#REF!,"AAAAAGtnbYg=")</f>
        <v>#REF!</v>
      </c>
      <c r="EH7" t="e">
        <f>AND(OUTPUT!#REF!,"AAAAAGtnbYk=")</f>
        <v>#REF!</v>
      </c>
      <c r="EI7" t="e">
        <f>AND(OUTPUT!#REF!,"AAAAAGtnbYo=")</f>
        <v>#REF!</v>
      </c>
      <c r="EJ7" t="e">
        <f>AND(OUTPUT!#REF!,"AAAAAGtnbYs=")</f>
        <v>#REF!</v>
      </c>
      <c r="EK7" t="e">
        <f>AND(OUTPUT!#REF!,"AAAAAGtnbYw=")</f>
        <v>#REF!</v>
      </c>
      <c r="EL7">
        <f>IF(OUTPUT!89:89,"AAAAAGtnbY0=",0)</f>
        <v>0</v>
      </c>
      <c r="EM7" t="e">
        <f>AND(OUTPUT!C92,"AAAAAGtnbY4=")</f>
        <v>#VALUE!</v>
      </c>
      <c r="EN7" t="e">
        <f>AND(OUTPUT!D92,"AAAAAGtnbY8=")</f>
        <v>#VALUE!</v>
      </c>
      <c r="EO7" t="e">
        <f>AND(OUTPUT!E92,"AAAAAGtnbZA=")</f>
        <v>#VALUE!</v>
      </c>
      <c r="EP7" t="e">
        <f>AND(OUTPUT!F92,"AAAAAGtnbZE=")</f>
        <v>#VALUE!</v>
      </c>
      <c r="EQ7" t="e">
        <f>AND(OUTPUT!G92,"AAAAAGtnbZI=")</f>
        <v>#VALUE!</v>
      </c>
      <c r="ER7" t="e">
        <f>AND(OUTPUT!I89,"AAAAAGtnbZM=")</f>
        <v>#VALUE!</v>
      </c>
      <c r="ES7" t="e">
        <f>AND(OUTPUT!#REF!,"AAAAAGtnbZQ=")</f>
        <v>#REF!</v>
      </c>
      <c r="ET7" t="e">
        <f>AND(OUTPUT!#REF!,"AAAAAGtnbZU=")</f>
        <v>#REF!</v>
      </c>
      <c r="EU7" t="e">
        <f>AND(OUTPUT!#REF!,"AAAAAGtnbZY=")</f>
        <v>#REF!</v>
      </c>
      <c r="EV7" t="e">
        <f>AND(OUTPUT!#REF!,"AAAAAGtnbZc=")</f>
        <v>#REF!</v>
      </c>
      <c r="EW7" t="e">
        <f>AND(OUTPUT!#REF!,"AAAAAGtnbZg=")</f>
        <v>#REF!</v>
      </c>
      <c r="EX7" t="e">
        <f>AND(OUTPUT!#REF!,"AAAAAGtnbZk=")</f>
        <v>#REF!</v>
      </c>
      <c r="EY7" t="e">
        <f>AND(OUTPUT!#REF!,"AAAAAGtnbZo=")</f>
        <v>#REF!</v>
      </c>
      <c r="EZ7">
        <f>IF(OUTPUT!90:90,"AAAAAGtnbZs=",0)</f>
        <v>0</v>
      </c>
      <c r="FA7" t="e">
        <f>AND(OUTPUT!C94,"AAAAAGtnbZw=")</f>
        <v>#VALUE!</v>
      </c>
      <c r="FB7" t="e">
        <f>AND(OUTPUT!D93,"AAAAAGtnbZ0=")</f>
        <v>#VALUE!</v>
      </c>
      <c r="FC7" t="e">
        <f>AND(OUTPUT!E93,"AAAAAGtnbZ4=")</f>
        <v>#VALUE!</v>
      </c>
      <c r="FD7" t="e">
        <f>AND(OUTPUT!F93,"AAAAAGtnbZ8=")</f>
        <v>#VALUE!</v>
      </c>
      <c r="FE7" t="e">
        <f>AND(OUTPUT!G93,"AAAAAGtnbaA=")</f>
        <v>#VALUE!</v>
      </c>
      <c r="FF7" t="e">
        <f>AND(OUTPUT!I90,"AAAAAGtnbaE=")</f>
        <v>#VALUE!</v>
      </c>
      <c r="FG7" t="e">
        <f>AND(OUTPUT!#REF!,"AAAAAGtnbaI=")</f>
        <v>#REF!</v>
      </c>
      <c r="FH7" t="e">
        <f>AND(OUTPUT!#REF!,"AAAAAGtnbaM=")</f>
        <v>#REF!</v>
      </c>
      <c r="FI7" t="e">
        <f>AND(OUTPUT!#REF!,"AAAAAGtnbaQ=")</f>
        <v>#REF!</v>
      </c>
      <c r="FJ7" t="e">
        <f>AND(OUTPUT!#REF!,"AAAAAGtnbaU=")</f>
        <v>#REF!</v>
      </c>
      <c r="FK7" t="e">
        <f>AND(OUTPUT!#REF!,"AAAAAGtnbaY=")</f>
        <v>#REF!</v>
      </c>
      <c r="FL7" t="e">
        <f>AND(OUTPUT!#REF!,"AAAAAGtnbac=")</f>
        <v>#REF!</v>
      </c>
      <c r="FM7" t="e">
        <f>AND(OUTPUT!#REF!,"AAAAAGtnbag=")</f>
        <v>#REF!</v>
      </c>
      <c r="FN7">
        <f>IF(OUTPUT!91:91,"AAAAAGtnbak=",0)</f>
        <v>0</v>
      </c>
      <c r="FO7" t="e">
        <f>AND(OUTPUT!C95,"AAAAAGtnbao=")</f>
        <v>#VALUE!</v>
      </c>
      <c r="FP7" t="e">
        <f>AND(OUTPUT!D94,"AAAAAGtnbas=")</f>
        <v>#VALUE!</v>
      </c>
      <c r="FQ7" t="e">
        <f>AND(OUTPUT!E94,"AAAAAGtnbaw=")</f>
        <v>#VALUE!</v>
      </c>
      <c r="FR7" t="e">
        <f>AND(OUTPUT!F94,"AAAAAGtnba0=")</f>
        <v>#VALUE!</v>
      </c>
      <c r="FS7" t="e">
        <f>AND(OUTPUT!G94,"AAAAAGtnba4=")</f>
        <v>#VALUE!</v>
      </c>
      <c r="FT7" t="e">
        <f>AND(OUTPUT!I91,"AAAAAGtnba8=")</f>
        <v>#VALUE!</v>
      </c>
      <c r="FU7" t="e">
        <f>AND(OUTPUT!#REF!,"AAAAAGtnbbA=")</f>
        <v>#REF!</v>
      </c>
      <c r="FV7" t="e">
        <f>AND(OUTPUT!#REF!,"AAAAAGtnbbE=")</f>
        <v>#REF!</v>
      </c>
      <c r="FW7" t="e">
        <f>AND(OUTPUT!#REF!,"AAAAAGtnbbI=")</f>
        <v>#REF!</v>
      </c>
      <c r="FX7" t="e">
        <f>AND(OUTPUT!#REF!,"AAAAAGtnbbM=")</f>
        <v>#REF!</v>
      </c>
      <c r="FY7" t="e">
        <f>AND(OUTPUT!#REF!,"AAAAAGtnbbQ=")</f>
        <v>#REF!</v>
      </c>
      <c r="FZ7" t="e">
        <f>AND(OUTPUT!#REF!,"AAAAAGtnbbU=")</f>
        <v>#REF!</v>
      </c>
      <c r="GA7" t="e">
        <f>AND(OUTPUT!#REF!,"AAAAAGtnbbY=")</f>
        <v>#REF!</v>
      </c>
      <c r="GB7">
        <f>IF(OUTPUT!92:92,"AAAAAGtnbbc=",0)</f>
        <v>0</v>
      </c>
      <c r="GC7" t="e">
        <f>AND(OUTPUT!C96,"AAAAAGtnbbg=")</f>
        <v>#VALUE!</v>
      </c>
      <c r="GD7" t="e">
        <f>AND(OUTPUT!D95,"AAAAAGtnbbk=")</f>
        <v>#VALUE!</v>
      </c>
      <c r="GE7" t="e">
        <f>AND(OUTPUT!E95,"AAAAAGtnbbo=")</f>
        <v>#VALUE!</v>
      </c>
      <c r="GF7" t="e">
        <f>AND(OUTPUT!F95,"AAAAAGtnbbs=")</f>
        <v>#VALUE!</v>
      </c>
      <c r="GG7" t="e">
        <f>AND(OUTPUT!G95,"AAAAAGtnbbw=")</f>
        <v>#VALUE!</v>
      </c>
      <c r="GH7" t="e">
        <f>AND(OUTPUT!I92,"AAAAAGtnbb0=")</f>
        <v>#VALUE!</v>
      </c>
      <c r="GI7" t="e">
        <f>AND(OUTPUT!#REF!,"AAAAAGtnbb4=")</f>
        <v>#REF!</v>
      </c>
      <c r="GJ7" t="e">
        <f>AND(OUTPUT!#REF!,"AAAAAGtnbb8=")</f>
        <v>#REF!</v>
      </c>
      <c r="GK7" t="e">
        <f>AND(OUTPUT!#REF!,"AAAAAGtnbcA=")</f>
        <v>#REF!</v>
      </c>
      <c r="GL7" t="e">
        <f>AND(OUTPUT!#REF!,"AAAAAGtnbcE=")</f>
        <v>#REF!</v>
      </c>
      <c r="GM7" t="e">
        <f>AND(OUTPUT!#REF!,"AAAAAGtnbcI=")</f>
        <v>#REF!</v>
      </c>
      <c r="GN7" t="e">
        <f>AND(OUTPUT!#REF!,"AAAAAGtnbcM=")</f>
        <v>#REF!</v>
      </c>
      <c r="GO7" t="e">
        <f>AND(OUTPUT!#REF!,"AAAAAGtnbcQ=")</f>
        <v>#REF!</v>
      </c>
      <c r="GP7">
        <f>IF(OUTPUT!93:93,"AAAAAGtnbcU=",0)</f>
        <v>0</v>
      </c>
      <c r="GQ7" t="e">
        <f>AND(OUTPUT!C97,"AAAAAGtnbcY=")</f>
        <v>#VALUE!</v>
      </c>
      <c r="GR7" t="e">
        <f>AND(OUTPUT!D96,"AAAAAGtnbcc=")</f>
        <v>#VALUE!</v>
      </c>
      <c r="GS7" t="e">
        <f>AND(OUTPUT!E96,"AAAAAGtnbcg=")</f>
        <v>#VALUE!</v>
      </c>
      <c r="GT7" t="e">
        <f>AND(OUTPUT!F96,"AAAAAGtnbck=")</f>
        <v>#VALUE!</v>
      </c>
      <c r="GU7" t="e">
        <f>AND(OUTPUT!G96,"AAAAAGtnbco=")</f>
        <v>#VALUE!</v>
      </c>
      <c r="GV7" t="e">
        <f>AND(OUTPUT!I93,"AAAAAGtnbcs=")</f>
        <v>#VALUE!</v>
      </c>
      <c r="GW7" t="e">
        <f>AND(OUTPUT!#REF!,"AAAAAGtnbcw=")</f>
        <v>#REF!</v>
      </c>
      <c r="GX7" t="e">
        <f>AND(OUTPUT!#REF!,"AAAAAGtnbc0=")</f>
        <v>#REF!</v>
      </c>
      <c r="GY7" t="e">
        <f>AND(OUTPUT!#REF!,"AAAAAGtnbc4=")</f>
        <v>#REF!</v>
      </c>
      <c r="GZ7" t="e">
        <f>AND(OUTPUT!#REF!,"AAAAAGtnbc8=")</f>
        <v>#REF!</v>
      </c>
      <c r="HA7" t="e">
        <f>AND(OUTPUT!#REF!,"AAAAAGtnbdA=")</f>
        <v>#REF!</v>
      </c>
      <c r="HB7" t="e">
        <f>AND(OUTPUT!#REF!,"AAAAAGtnbdE=")</f>
        <v>#REF!</v>
      </c>
      <c r="HC7" t="e">
        <f>AND(OUTPUT!#REF!,"AAAAAGtnbdI=")</f>
        <v>#REF!</v>
      </c>
      <c r="HD7">
        <f>IF(OUTPUT!94:94,"AAAAAGtnbdM=",0)</f>
        <v>0</v>
      </c>
      <c r="HE7" t="e">
        <f>AND(OUTPUT!C98,"AAAAAGtnbdQ=")</f>
        <v>#VALUE!</v>
      </c>
      <c r="HF7" t="e">
        <f>AND(OUTPUT!D97,"AAAAAGtnbdU=")</f>
        <v>#VALUE!</v>
      </c>
      <c r="HG7" t="e">
        <f>AND(OUTPUT!E97,"AAAAAGtnbdY=")</f>
        <v>#VALUE!</v>
      </c>
      <c r="HH7" t="e">
        <f>AND(OUTPUT!F97,"AAAAAGtnbdc=")</f>
        <v>#VALUE!</v>
      </c>
      <c r="HI7" t="e">
        <f>AND(OUTPUT!G97,"AAAAAGtnbdg=")</f>
        <v>#VALUE!</v>
      </c>
      <c r="HJ7" t="e">
        <f>AND(OUTPUT!I94,"AAAAAGtnbdk=")</f>
        <v>#VALUE!</v>
      </c>
      <c r="HK7" t="e">
        <f>AND(OUTPUT!#REF!,"AAAAAGtnbdo=")</f>
        <v>#REF!</v>
      </c>
      <c r="HL7" t="e">
        <f>AND(OUTPUT!#REF!,"AAAAAGtnbds=")</f>
        <v>#REF!</v>
      </c>
      <c r="HM7" t="e">
        <f>AND(OUTPUT!#REF!,"AAAAAGtnbdw=")</f>
        <v>#REF!</v>
      </c>
      <c r="HN7" t="e">
        <f>AND(OUTPUT!#REF!,"AAAAAGtnbd0=")</f>
        <v>#REF!</v>
      </c>
      <c r="HO7" t="e">
        <f>AND(OUTPUT!#REF!,"AAAAAGtnbd4=")</f>
        <v>#REF!</v>
      </c>
      <c r="HP7" t="e">
        <f>AND(OUTPUT!#REF!,"AAAAAGtnbd8=")</f>
        <v>#REF!</v>
      </c>
      <c r="HQ7" t="e">
        <f>AND(OUTPUT!#REF!,"AAAAAGtnbeA=")</f>
        <v>#REF!</v>
      </c>
      <c r="HR7">
        <f>IF(OUTPUT!95:95,"AAAAAGtnbeE=",0)</f>
        <v>0</v>
      </c>
      <c r="HS7" t="e">
        <f>AND(OUTPUT!C99,"AAAAAGtnbeI=")</f>
        <v>#VALUE!</v>
      </c>
      <c r="HT7" t="e">
        <f>AND(OUTPUT!D98,"AAAAAGtnbeM=")</f>
        <v>#VALUE!</v>
      </c>
      <c r="HU7" t="e">
        <f>AND(OUTPUT!E98,"AAAAAGtnbeQ=")</f>
        <v>#VALUE!</v>
      </c>
      <c r="HV7" t="e">
        <f>AND(OUTPUT!F98,"AAAAAGtnbeU=")</f>
        <v>#VALUE!</v>
      </c>
      <c r="HW7" t="e">
        <f>AND(OUTPUT!G98,"AAAAAGtnbeY=")</f>
        <v>#VALUE!</v>
      </c>
      <c r="HX7" t="e">
        <f>AND(OUTPUT!I95,"AAAAAGtnbec=")</f>
        <v>#VALUE!</v>
      </c>
      <c r="HY7" t="e">
        <f>AND(OUTPUT!#REF!,"AAAAAGtnbeg=")</f>
        <v>#REF!</v>
      </c>
      <c r="HZ7" t="e">
        <f>AND(OUTPUT!#REF!,"AAAAAGtnbek=")</f>
        <v>#REF!</v>
      </c>
      <c r="IA7" t="e">
        <f>AND(OUTPUT!#REF!,"AAAAAGtnbeo=")</f>
        <v>#REF!</v>
      </c>
      <c r="IB7" t="e">
        <f>AND(OUTPUT!#REF!,"AAAAAGtnbes=")</f>
        <v>#REF!</v>
      </c>
      <c r="IC7" t="e">
        <f>AND(OUTPUT!#REF!,"AAAAAGtnbew=")</f>
        <v>#REF!</v>
      </c>
      <c r="ID7" t="e">
        <f>AND(OUTPUT!#REF!,"AAAAAGtnbe0=")</f>
        <v>#REF!</v>
      </c>
      <c r="IE7" t="e">
        <f>AND(OUTPUT!#REF!,"AAAAAGtnbe4=")</f>
        <v>#REF!</v>
      </c>
      <c r="IF7">
        <f>IF(OUTPUT!96:96,"AAAAAGtnbe8=",0)</f>
        <v>0</v>
      </c>
      <c r="IG7" t="e">
        <f>AND(OUTPUT!#REF!,"AAAAAGtnbfA=")</f>
        <v>#REF!</v>
      </c>
      <c r="IH7" t="e">
        <f>AND(OUTPUT!D99,"AAAAAGtnbfE=")</f>
        <v>#VALUE!</v>
      </c>
      <c r="II7" t="e">
        <f>AND(OUTPUT!E99,"AAAAAGtnbfI=")</f>
        <v>#VALUE!</v>
      </c>
      <c r="IJ7" t="e">
        <f>AND(OUTPUT!F99,"AAAAAGtnbfM=")</f>
        <v>#VALUE!</v>
      </c>
      <c r="IK7" t="e">
        <f>AND(OUTPUT!G99,"AAAAAGtnbfQ=")</f>
        <v>#VALUE!</v>
      </c>
      <c r="IL7" t="e">
        <f>AND(OUTPUT!I96,"AAAAAGtnbfU=")</f>
        <v>#VALUE!</v>
      </c>
      <c r="IM7" t="e">
        <f>AND(OUTPUT!#REF!,"AAAAAGtnbfY=")</f>
        <v>#REF!</v>
      </c>
      <c r="IN7" t="e">
        <f>AND(OUTPUT!#REF!,"AAAAAGtnbfc=")</f>
        <v>#REF!</v>
      </c>
      <c r="IO7" t="e">
        <f>AND(OUTPUT!#REF!,"AAAAAGtnbfg=")</f>
        <v>#REF!</v>
      </c>
      <c r="IP7" t="e">
        <f>AND(OUTPUT!#REF!,"AAAAAGtnbfk=")</f>
        <v>#REF!</v>
      </c>
      <c r="IQ7" t="e">
        <f>AND(OUTPUT!#REF!,"AAAAAGtnbfo=")</f>
        <v>#REF!</v>
      </c>
      <c r="IR7" t="e">
        <f>AND(OUTPUT!#REF!,"AAAAAGtnbfs=")</f>
        <v>#REF!</v>
      </c>
      <c r="IS7" t="e">
        <f>AND(OUTPUT!#REF!,"AAAAAGtnbfw=")</f>
        <v>#REF!</v>
      </c>
      <c r="IT7">
        <f>IF(OUTPUT!97:97,"AAAAAGtnbf0=",0)</f>
        <v>0</v>
      </c>
      <c r="IU7" t="e">
        <f>AND(OUTPUT!C100,"AAAAAGtnbf4=")</f>
        <v>#VALUE!</v>
      </c>
      <c r="IV7" t="e">
        <f>AND(OUTPUT!D100,"AAAAAGtnbf8=")</f>
        <v>#VALUE!</v>
      </c>
    </row>
    <row r="8" spans="1:256" x14ac:dyDescent="0.2">
      <c r="A8" t="e">
        <f>AND(OUTPUT!E100,"AAAAAD/a7wA=")</f>
        <v>#VALUE!</v>
      </c>
      <c r="B8" t="e">
        <f>AND(OUTPUT!F100,"AAAAAD/a7wE=")</f>
        <v>#VALUE!</v>
      </c>
      <c r="C8" t="e">
        <f>AND(OUTPUT!G100,"AAAAAD/a7wI=")</f>
        <v>#VALUE!</v>
      </c>
      <c r="D8" t="e">
        <f>AND(OUTPUT!I97,"AAAAAD/a7wM=")</f>
        <v>#VALUE!</v>
      </c>
      <c r="E8" t="e">
        <f>AND(OUTPUT!#REF!,"AAAAAD/a7wQ=")</f>
        <v>#REF!</v>
      </c>
      <c r="F8" t="e">
        <f>AND(OUTPUT!#REF!,"AAAAAD/a7wU=")</f>
        <v>#REF!</v>
      </c>
      <c r="G8" t="e">
        <f>AND(OUTPUT!#REF!,"AAAAAD/a7wY=")</f>
        <v>#REF!</v>
      </c>
      <c r="H8" t="e">
        <f>AND(OUTPUT!#REF!,"AAAAAD/a7wc=")</f>
        <v>#REF!</v>
      </c>
      <c r="I8" t="e">
        <f>AND(OUTPUT!#REF!,"AAAAAD/a7wg=")</f>
        <v>#REF!</v>
      </c>
      <c r="J8" t="e">
        <f>AND(OUTPUT!#REF!,"AAAAAD/a7wk=")</f>
        <v>#REF!</v>
      </c>
      <c r="K8" t="e">
        <f>AND(OUTPUT!#REF!,"AAAAAD/a7wo=")</f>
        <v>#REF!</v>
      </c>
      <c r="L8">
        <f>IF(OUTPUT!98:98,"AAAAAD/a7ws=",0)</f>
        <v>0</v>
      </c>
      <c r="M8" t="e">
        <f>AND(OUTPUT!C101,"AAAAAD/a7ww=")</f>
        <v>#VALUE!</v>
      </c>
      <c r="N8" t="e">
        <f>AND(OUTPUT!D101,"AAAAAD/a7w0=")</f>
        <v>#VALUE!</v>
      </c>
      <c r="O8" t="e">
        <f>AND(OUTPUT!E101,"AAAAAD/a7w4=")</f>
        <v>#VALUE!</v>
      </c>
      <c r="P8" t="e">
        <f>AND(OUTPUT!F101,"AAAAAD/a7w8=")</f>
        <v>#VALUE!</v>
      </c>
      <c r="Q8" t="e">
        <f>AND(OUTPUT!G101,"AAAAAD/a7xA=")</f>
        <v>#VALUE!</v>
      </c>
      <c r="R8" t="e">
        <f>AND(OUTPUT!I98,"AAAAAD/a7xE=")</f>
        <v>#VALUE!</v>
      </c>
      <c r="S8" t="e">
        <f>AND(OUTPUT!#REF!,"AAAAAD/a7xI=")</f>
        <v>#REF!</v>
      </c>
      <c r="T8" t="e">
        <f>AND(OUTPUT!#REF!,"AAAAAD/a7xM=")</f>
        <v>#REF!</v>
      </c>
      <c r="U8" t="e">
        <f>AND(OUTPUT!#REF!,"AAAAAD/a7xQ=")</f>
        <v>#REF!</v>
      </c>
      <c r="V8" t="e">
        <f>AND(OUTPUT!#REF!,"AAAAAD/a7xU=")</f>
        <v>#REF!</v>
      </c>
      <c r="W8" t="e">
        <f>AND(OUTPUT!#REF!,"AAAAAD/a7xY=")</f>
        <v>#REF!</v>
      </c>
      <c r="X8" t="e">
        <f>AND(OUTPUT!#REF!,"AAAAAD/a7xc=")</f>
        <v>#REF!</v>
      </c>
      <c r="Y8" t="e">
        <f>AND(OUTPUT!#REF!,"AAAAAD/a7xg=")</f>
        <v>#REF!</v>
      </c>
      <c r="Z8">
        <f>IF(OUTPUT!99:99,"AAAAAD/a7xk=",0)</f>
        <v>0</v>
      </c>
      <c r="AA8" t="e">
        <f>AND(OUTPUT!C102,"AAAAAD/a7xo=")</f>
        <v>#VALUE!</v>
      </c>
      <c r="AB8" t="e">
        <f>AND(OUTPUT!D102,"AAAAAD/a7xs=")</f>
        <v>#VALUE!</v>
      </c>
      <c r="AC8" t="e">
        <f>AND(OUTPUT!E102,"AAAAAD/a7xw=")</f>
        <v>#VALUE!</v>
      </c>
      <c r="AD8" t="e">
        <f>AND(OUTPUT!F102,"AAAAAD/a7x0=")</f>
        <v>#VALUE!</v>
      </c>
      <c r="AE8" t="e">
        <f>AND(OUTPUT!G102,"AAAAAD/a7x4=")</f>
        <v>#VALUE!</v>
      </c>
      <c r="AF8" t="e">
        <f>AND(OUTPUT!I99,"AAAAAD/a7x8=")</f>
        <v>#VALUE!</v>
      </c>
      <c r="AG8" t="e">
        <f>AND(OUTPUT!#REF!,"AAAAAD/a7yA=")</f>
        <v>#REF!</v>
      </c>
      <c r="AH8" t="e">
        <f>AND(OUTPUT!#REF!,"AAAAAD/a7yE=")</f>
        <v>#REF!</v>
      </c>
      <c r="AI8" t="e">
        <f>AND(OUTPUT!#REF!,"AAAAAD/a7yI=")</f>
        <v>#REF!</v>
      </c>
      <c r="AJ8" t="e">
        <f>AND(OUTPUT!#REF!,"AAAAAD/a7yM=")</f>
        <v>#REF!</v>
      </c>
      <c r="AK8" t="e">
        <f>AND(OUTPUT!#REF!,"AAAAAD/a7yQ=")</f>
        <v>#REF!</v>
      </c>
      <c r="AL8" t="e">
        <f>AND(OUTPUT!#REF!,"AAAAAD/a7yU=")</f>
        <v>#REF!</v>
      </c>
      <c r="AM8" t="e">
        <f>AND(OUTPUT!#REF!,"AAAAAD/a7yY=")</f>
        <v>#REF!</v>
      </c>
      <c r="AN8">
        <f>IF(OUTPUT!100:100,"AAAAAD/a7yc=",0)</f>
        <v>0</v>
      </c>
      <c r="AO8" t="e">
        <f>AND(OUTPUT!C103,"AAAAAD/a7yg=")</f>
        <v>#VALUE!</v>
      </c>
      <c r="AP8" t="e">
        <f>AND(OUTPUT!D103,"AAAAAD/a7yk=")</f>
        <v>#VALUE!</v>
      </c>
      <c r="AQ8" t="e">
        <f>AND(OUTPUT!E103,"AAAAAD/a7yo=")</f>
        <v>#VALUE!</v>
      </c>
      <c r="AR8" t="e">
        <f>AND(OUTPUT!F103,"AAAAAD/a7ys=")</f>
        <v>#VALUE!</v>
      </c>
      <c r="AS8" t="e">
        <f>AND(OUTPUT!G103,"AAAAAD/a7yw=")</f>
        <v>#VALUE!</v>
      </c>
      <c r="AT8" t="e">
        <f>AND(OUTPUT!I100,"AAAAAD/a7y0=")</f>
        <v>#VALUE!</v>
      </c>
      <c r="AU8" t="e">
        <f>AND(OUTPUT!#REF!,"AAAAAD/a7y4=")</f>
        <v>#REF!</v>
      </c>
      <c r="AV8" t="e">
        <f>AND(OUTPUT!#REF!,"AAAAAD/a7y8=")</f>
        <v>#REF!</v>
      </c>
      <c r="AW8" t="e">
        <f>AND(OUTPUT!#REF!,"AAAAAD/a7zA=")</f>
        <v>#REF!</v>
      </c>
      <c r="AX8" t="e">
        <f>AND(OUTPUT!#REF!,"AAAAAD/a7zE=")</f>
        <v>#REF!</v>
      </c>
      <c r="AY8" t="e">
        <f>AND(OUTPUT!#REF!,"AAAAAD/a7zI=")</f>
        <v>#REF!</v>
      </c>
      <c r="AZ8" t="e">
        <f>AND(OUTPUT!#REF!,"AAAAAD/a7zM=")</f>
        <v>#REF!</v>
      </c>
      <c r="BA8" t="e">
        <f>AND(OUTPUT!#REF!,"AAAAAD/a7zQ=")</f>
        <v>#REF!</v>
      </c>
      <c r="BB8">
        <f>IF(OUTPUT!101:101,"AAAAAD/a7zU=",0)</f>
        <v>0</v>
      </c>
      <c r="BC8" t="e">
        <f>AND(OUTPUT!C104,"AAAAAD/a7zY=")</f>
        <v>#VALUE!</v>
      </c>
      <c r="BD8" t="e">
        <f>AND(OUTPUT!D104,"AAAAAD/a7zc=")</f>
        <v>#VALUE!</v>
      </c>
      <c r="BE8" t="e">
        <f>AND(OUTPUT!E104,"AAAAAD/a7zg=")</f>
        <v>#VALUE!</v>
      </c>
      <c r="BF8" t="e">
        <f>AND(OUTPUT!F104,"AAAAAD/a7zk=")</f>
        <v>#VALUE!</v>
      </c>
      <c r="BG8" t="e">
        <f>AND(OUTPUT!G104,"AAAAAD/a7zo=")</f>
        <v>#VALUE!</v>
      </c>
      <c r="BH8" t="e">
        <f>AND(OUTPUT!I101,"AAAAAD/a7zs=")</f>
        <v>#VALUE!</v>
      </c>
      <c r="BI8" t="e">
        <f>AND(OUTPUT!#REF!,"AAAAAD/a7zw=")</f>
        <v>#REF!</v>
      </c>
      <c r="BJ8" t="e">
        <f>AND(OUTPUT!#REF!,"AAAAAD/a7z0=")</f>
        <v>#REF!</v>
      </c>
      <c r="BK8" t="e">
        <f>AND(OUTPUT!#REF!,"AAAAAD/a7z4=")</f>
        <v>#REF!</v>
      </c>
      <c r="BL8" t="e">
        <f>AND(OUTPUT!#REF!,"AAAAAD/a7z8=")</f>
        <v>#REF!</v>
      </c>
      <c r="BM8" t="e">
        <f>AND(OUTPUT!#REF!,"AAAAAD/a70A=")</f>
        <v>#REF!</v>
      </c>
      <c r="BN8" t="e">
        <f>AND(OUTPUT!#REF!,"AAAAAD/a70E=")</f>
        <v>#REF!</v>
      </c>
      <c r="BO8" t="e">
        <f>AND(OUTPUT!#REF!,"AAAAAD/a70I=")</f>
        <v>#REF!</v>
      </c>
      <c r="BP8">
        <f>IF(OUTPUT!102:102,"AAAAAD/a70M=",0)</f>
        <v>0</v>
      </c>
      <c r="BQ8" t="e">
        <f>AND(OUTPUT!C105,"AAAAAD/a70Q=")</f>
        <v>#VALUE!</v>
      </c>
      <c r="BR8" t="e">
        <f>AND(OUTPUT!D105,"AAAAAD/a70U=")</f>
        <v>#VALUE!</v>
      </c>
      <c r="BS8" t="e">
        <f>AND(OUTPUT!E105,"AAAAAD/a70Y=")</f>
        <v>#VALUE!</v>
      </c>
      <c r="BT8" t="e">
        <f>AND(OUTPUT!F105,"AAAAAD/a70c=")</f>
        <v>#VALUE!</v>
      </c>
      <c r="BU8" t="e">
        <f>AND(OUTPUT!G105,"AAAAAD/a70g=")</f>
        <v>#VALUE!</v>
      </c>
      <c r="BV8" t="e">
        <f>AND(OUTPUT!I102,"AAAAAD/a70k=")</f>
        <v>#VALUE!</v>
      </c>
      <c r="BW8" t="e">
        <f>AND(OUTPUT!#REF!,"AAAAAD/a70o=")</f>
        <v>#REF!</v>
      </c>
      <c r="BX8" t="e">
        <f>AND(OUTPUT!#REF!,"AAAAAD/a70s=")</f>
        <v>#REF!</v>
      </c>
      <c r="BY8" t="e">
        <f>AND(OUTPUT!#REF!,"AAAAAD/a70w=")</f>
        <v>#REF!</v>
      </c>
      <c r="BZ8" t="e">
        <f>AND(OUTPUT!#REF!,"AAAAAD/a700=")</f>
        <v>#REF!</v>
      </c>
      <c r="CA8" t="e">
        <f>AND(OUTPUT!#REF!,"AAAAAD/a704=")</f>
        <v>#REF!</v>
      </c>
      <c r="CB8" t="e">
        <f>AND(OUTPUT!#REF!,"AAAAAD/a708=")</f>
        <v>#REF!</v>
      </c>
      <c r="CC8" t="e">
        <f>AND(OUTPUT!#REF!,"AAAAAD/a71A=")</f>
        <v>#REF!</v>
      </c>
      <c r="CD8">
        <f>IF(OUTPUT!103:103,"AAAAAD/a71E=",0)</f>
        <v>0</v>
      </c>
      <c r="CE8" t="e">
        <f>AND(OUTPUT!C106,"AAAAAD/a71I=")</f>
        <v>#VALUE!</v>
      </c>
      <c r="CF8" t="e">
        <f>AND(OUTPUT!D106,"AAAAAD/a71M=")</f>
        <v>#VALUE!</v>
      </c>
      <c r="CG8" t="e">
        <f>AND(OUTPUT!E106,"AAAAAD/a71Q=")</f>
        <v>#VALUE!</v>
      </c>
      <c r="CH8" t="e">
        <f>AND(OUTPUT!F106,"AAAAAD/a71U=")</f>
        <v>#VALUE!</v>
      </c>
      <c r="CI8" t="e">
        <f>AND(OUTPUT!G106,"AAAAAD/a71Y=")</f>
        <v>#VALUE!</v>
      </c>
      <c r="CJ8" t="e">
        <f>AND(OUTPUT!I103,"AAAAAD/a71c=")</f>
        <v>#VALUE!</v>
      </c>
      <c r="CK8" t="e">
        <f>AND(OUTPUT!#REF!,"AAAAAD/a71g=")</f>
        <v>#REF!</v>
      </c>
      <c r="CL8" t="e">
        <f>AND(OUTPUT!#REF!,"AAAAAD/a71k=")</f>
        <v>#REF!</v>
      </c>
      <c r="CM8" t="e">
        <f>AND(OUTPUT!#REF!,"AAAAAD/a71o=")</f>
        <v>#REF!</v>
      </c>
      <c r="CN8" t="e">
        <f>AND(OUTPUT!#REF!,"AAAAAD/a71s=")</f>
        <v>#REF!</v>
      </c>
      <c r="CO8" t="e">
        <f>AND(OUTPUT!#REF!,"AAAAAD/a71w=")</f>
        <v>#REF!</v>
      </c>
      <c r="CP8" t="e">
        <f>AND(OUTPUT!#REF!,"AAAAAD/a710=")</f>
        <v>#REF!</v>
      </c>
      <c r="CQ8" t="e">
        <f>AND(OUTPUT!#REF!,"AAAAAD/a714=")</f>
        <v>#REF!</v>
      </c>
      <c r="CR8">
        <f>IF(OUTPUT!104:104,"AAAAAD/a718=",0)</f>
        <v>0</v>
      </c>
      <c r="CS8" t="e">
        <f>AND(OUTPUT!C107,"AAAAAD/a72A=")</f>
        <v>#VALUE!</v>
      </c>
      <c r="CT8" t="e">
        <f>AND(OUTPUT!D107,"AAAAAD/a72E=")</f>
        <v>#VALUE!</v>
      </c>
      <c r="CU8" t="e">
        <f>AND(OUTPUT!E107,"AAAAAD/a72I=")</f>
        <v>#VALUE!</v>
      </c>
      <c r="CV8" t="e">
        <f>AND(OUTPUT!F107,"AAAAAD/a72M=")</f>
        <v>#VALUE!</v>
      </c>
      <c r="CW8" t="e">
        <f>AND(OUTPUT!G107,"AAAAAD/a72Q=")</f>
        <v>#VALUE!</v>
      </c>
      <c r="CX8" t="e">
        <f>AND(OUTPUT!I104,"AAAAAD/a72U=")</f>
        <v>#VALUE!</v>
      </c>
      <c r="CY8" t="e">
        <f>AND(OUTPUT!#REF!,"AAAAAD/a72Y=")</f>
        <v>#REF!</v>
      </c>
      <c r="CZ8" t="e">
        <f>AND(OUTPUT!#REF!,"AAAAAD/a72c=")</f>
        <v>#REF!</v>
      </c>
      <c r="DA8" t="e">
        <f>AND(OUTPUT!#REF!,"AAAAAD/a72g=")</f>
        <v>#REF!</v>
      </c>
      <c r="DB8" t="e">
        <f>AND(OUTPUT!#REF!,"AAAAAD/a72k=")</f>
        <v>#REF!</v>
      </c>
      <c r="DC8" t="e">
        <f>AND(OUTPUT!#REF!,"AAAAAD/a72o=")</f>
        <v>#REF!</v>
      </c>
      <c r="DD8" t="e">
        <f>AND(OUTPUT!#REF!,"AAAAAD/a72s=")</f>
        <v>#REF!</v>
      </c>
      <c r="DE8" t="e">
        <f>AND(OUTPUT!#REF!,"AAAAAD/a72w=")</f>
        <v>#REF!</v>
      </c>
      <c r="DF8">
        <f>IF(OUTPUT!105:105,"AAAAAD/a720=",0)</f>
        <v>0</v>
      </c>
      <c r="DG8" t="e">
        <f>AND(OUTPUT!C108,"AAAAAD/a724=")</f>
        <v>#VALUE!</v>
      </c>
      <c r="DH8" t="e">
        <f>AND(OUTPUT!D108,"AAAAAD/a728=")</f>
        <v>#VALUE!</v>
      </c>
      <c r="DI8" t="e">
        <f>AND(OUTPUT!E108,"AAAAAD/a73A=")</f>
        <v>#VALUE!</v>
      </c>
      <c r="DJ8" t="e">
        <f>AND(OUTPUT!F108,"AAAAAD/a73E=")</f>
        <v>#VALUE!</v>
      </c>
      <c r="DK8" t="e">
        <f>AND(OUTPUT!G108,"AAAAAD/a73I=")</f>
        <v>#VALUE!</v>
      </c>
      <c r="DL8" t="e">
        <f>AND(OUTPUT!I105,"AAAAAD/a73M=")</f>
        <v>#VALUE!</v>
      </c>
      <c r="DM8" t="e">
        <f>AND(OUTPUT!#REF!,"AAAAAD/a73Q=")</f>
        <v>#REF!</v>
      </c>
      <c r="DN8" t="e">
        <f>AND(OUTPUT!#REF!,"AAAAAD/a73U=")</f>
        <v>#REF!</v>
      </c>
      <c r="DO8" t="e">
        <f>AND(OUTPUT!#REF!,"AAAAAD/a73Y=")</f>
        <v>#REF!</v>
      </c>
      <c r="DP8" t="e">
        <f>AND(OUTPUT!#REF!,"AAAAAD/a73c=")</f>
        <v>#REF!</v>
      </c>
      <c r="DQ8" t="e">
        <f>AND(OUTPUT!#REF!,"AAAAAD/a73g=")</f>
        <v>#REF!</v>
      </c>
      <c r="DR8" t="e">
        <f>AND(OUTPUT!#REF!,"AAAAAD/a73k=")</f>
        <v>#REF!</v>
      </c>
      <c r="DS8" t="e">
        <f>AND(OUTPUT!#REF!,"AAAAAD/a73o=")</f>
        <v>#REF!</v>
      </c>
      <c r="DT8">
        <f>IF(OUTPUT!106:106,"AAAAAD/a73s=",0)</f>
        <v>0</v>
      </c>
      <c r="DU8" t="e">
        <f>AND(OUTPUT!C109,"AAAAAD/a73w=")</f>
        <v>#VALUE!</v>
      </c>
      <c r="DV8" t="e">
        <f>AND(OUTPUT!D109,"AAAAAD/a730=")</f>
        <v>#VALUE!</v>
      </c>
      <c r="DW8" t="e">
        <f>AND(OUTPUT!E109,"AAAAAD/a734=")</f>
        <v>#VALUE!</v>
      </c>
      <c r="DX8" t="e">
        <f>AND(OUTPUT!F109,"AAAAAD/a738=")</f>
        <v>#VALUE!</v>
      </c>
      <c r="DY8" t="e">
        <f>AND(OUTPUT!G109,"AAAAAD/a74A=")</f>
        <v>#VALUE!</v>
      </c>
      <c r="DZ8" t="e">
        <f>AND(OUTPUT!I106,"AAAAAD/a74E=")</f>
        <v>#VALUE!</v>
      </c>
      <c r="EA8" t="e">
        <f>AND(OUTPUT!#REF!,"AAAAAD/a74I=")</f>
        <v>#REF!</v>
      </c>
      <c r="EB8" t="e">
        <f>AND(OUTPUT!#REF!,"AAAAAD/a74M=")</f>
        <v>#REF!</v>
      </c>
      <c r="EC8" t="e">
        <f>AND(OUTPUT!#REF!,"AAAAAD/a74Q=")</f>
        <v>#REF!</v>
      </c>
      <c r="ED8" t="e">
        <f>AND(OUTPUT!#REF!,"AAAAAD/a74U=")</f>
        <v>#REF!</v>
      </c>
      <c r="EE8" t="e">
        <f>AND(OUTPUT!#REF!,"AAAAAD/a74Y=")</f>
        <v>#REF!</v>
      </c>
      <c r="EF8" t="e">
        <f>AND(OUTPUT!#REF!,"AAAAAD/a74c=")</f>
        <v>#REF!</v>
      </c>
      <c r="EG8" t="e">
        <f>AND(OUTPUT!#REF!,"AAAAAD/a74g=")</f>
        <v>#REF!</v>
      </c>
      <c r="EH8">
        <f>IF(OUTPUT!107:107,"AAAAAD/a74k=",0)</f>
        <v>0</v>
      </c>
      <c r="EI8" t="e">
        <f>AND(OUTPUT!C110,"AAAAAD/a74o=")</f>
        <v>#VALUE!</v>
      </c>
      <c r="EJ8" t="e">
        <f>AND(OUTPUT!D110,"AAAAAD/a74s=")</f>
        <v>#VALUE!</v>
      </c>
      <c r="EK8" t="e">
        <f>AND(OUTPUT!E110,"AAAAAD/a74w=")</f>
        <v>#VALUE!</v>
      </c>
      <c r="EL8" t="e">
        <f>AND(OUTPUT!F110,"AAAAAD/a740=")</f>
        <v>#VALUE!</v>
      </c>
      <c r="EM8" t="e">
        <f>AND(OUTPUT!G110,"AAAAAD/a744=")</f>
        <v>#VALUE!</v>
      </c>
      <c r="EN8" t="e">
        <f>AND(OUTPUT!I107,"AAAAAD/a748=")</f>
        <v>#VALUE!</v>
      </c>
      <c r="EO8" t="e">
        <f>AND(OUTPUT!#REF!,"AAAAAD/a75A=")</f>
        <v>#REF!</v>
      </c>
      <c r="EP8" t="e">
        <f>AND(OUTPUT!#REF!,"AAAAAD/a75E=")</f>
        <v>#REF!</v>
      </c>
      <c r="EQ8" t="e">
        <f>AND(OUTPUT!#REF!,"AAAAAD/a75I=")</f>
        <v>#REF!</v>
      </c>
      <c r="ER8" t="e">
        <f>AND(OUTPUT!#REF!,"AAAAAD/a75M=")</f>
        <v>#REF!</v>
      </c>
      <c r="ES8" t="e">
        <f>AND(OUTPUT!#REF!,"AAAAAD/a75Q=")</f>
        <v>#REF!</v>
      </c>
      <c r="ET8" t="e">
        <f>AND(OUTPUT!#REF!,"AAAAAD/a75U=")</f>
        <v>#REF!</v>
      </c>
      <c r="EU8" t="e">
        <f>AND(OUTPUT!#REF!,"AAAAAD/a75Y=")</f>
        <v>#REF!</v>
      </c>
      <c r="EV8">
        <f>IF(OUTPUT!108:108,"AAAAAD/a75c=",0)</f>
        <v>0</v>
      </c>
      <c r="EW8" t="e">
        <f>AND(OUTPUT!C111,"AAAAAD/a75g=")</f>
        <v>#VALUE!</v>
      </c>
      <c r="EX8" t="e">
        <f>AND(OUTPUT!D111,"AAAAAD/a75k=")</f>
        <v>#VALUE!</v>
      </c>
      <c r="EY8" t="e">
        <f>AND(OUTPUT!E111,"AAAAAD/a75o=")</f>
        <v>#VALUE!</v>
      </c>
      <c r="EZ8" t="e">
        <f>AND(OUTPUT!F111,"AAAAAD/a75s=")</f>
        <v>#VALUE!</v>
      </c>
      <c r="FA8" t="e">
        <f>AND(OUTPUT!G111,"AAAAAD/a75w=")</f>
        <v>#VALUE!</v>
      </c>
      <c r="FB8" t="e">
        <f>AND(OUTPUT!I108,"AAAAAD/a750=")</f>
        <v>#VALUE!</v>
      </c>
      <c r="FC8" t="e">
        <f>AND(OUTPUT!#REF!,"AAAAAD/a754=")</f>
        <v>#REF!</v>
      </c>
      <c r="FD8" t="e">
        <f>AND(OUTPUT!#REF!,"AAAAAD/a758=")</f>
        <v>#REF!</v>
      </c>
      <c r="FE8" t="e">
        <f>AND(OUTPUT!#REF!,"AAAAAD/a76A=")</f>
        <v>#REF!</v>
      </c>
      <c r="FF8" t="e">
        <f>AND(OUTPUT!#REF!,"AAAAAD/a76E=")</f>
        <v>#REF!</v>
      </c>
      <c r="FG8" t="e">
        <f>AND(OUTPUT!#REF!,"AAAAAD/a76I=")</f>
        <v>#REF!</v>
      </c>
      <c r="FH8" t="e">
        <f>AND(OUTPUT!#REF!,"AAAAAD/a76M=")</f>
        <v>#REF!</v>
      </c>
      <c r="FI8" t="e">
        <f>AND(OUTPUT!#REF!,"AAAAAD/a76Q=")</f>
        <v>#REF!</v>
      </c>
      <c r="FJ8">
        <f>IF(OUTPUT!109:109,"AAAAAD/a76U=",0)</f>
        <v>0</v>
      </c>
      <c r="FK8" t="e">
        <f>AND(OUTPUT!C112,"AAAAAD/a76Y=")</f>
        <v>#VALUE!</v>
      </c>
      <c r="FL8" t="e">
        <f>AND(OUTPUT!D112,"AAAAAD/a76c=")</f>
        <v>#VALUE!</v>
      </c>
      <c r="FM8" t="e">
        <f>AND(OUTPUT!E112,"AAAAAD/a76g=")</f>
        <v>#VALUE!</v>
      </c>
      <c r="FN8" t="e">
        <f>AND(OUTPUT!F112,"AAAAAD/a76k=")</f>
        <v>#VALUE!</v>
      </c>
      <c r="FO8" t="e">
        <f>AND(OUTPUT!G112,"AAAAAD/a76o=")</f>
        <v>#VALUE!</v>
      </c>
      <c r="FP8" t="e">
        <f>AND(OUTPUT!I109,"AAAAAD/a76s=")</f>
        <v>#VALUE!</v>
      </c>
      <c r="FQ8" t="e">
        <f>AND(OUTPUT!#REF!,"AAAAAD/a76w=")</f>
        <v>#REF!</v>
      </c>
      <c r="FR8" t="e">
        <f>AND(OUTPUT!#REF!,"AAAAAD/a760=")</f>
        <v>#REF!</v>
      </c>
      <c r="FS8" t="e">
        <f>AND(OUTPUT!#REF!,"AAAAAD/a764=")</f>
        <v>#REF!</v>
      </c>
      <c r="FT8" t="e">
        <f>AND(OUTPUT!#REF!,"AAAAAD/a768=")</f>
        <v>#REF!</v>
      </c>
      <c r="FU8" t="e">
        <f>AND(OUTPUT!#REF!,"AAAAAD/a77A=")</f>
        <v>#REF!</v>
      </c>
      <c r="FV8" t="e">
        <f>AND(OUTPUT!#REF!,"AAAAAD/a77E=")</f>
        <v>#REF!</v>
      </c>
      <c r="FW8" t="e">
        <f>AND(OUTPUT!#REF!,"AAAAAD/a77I=")</f>
        <v>#REF!</v>
      </c>
      <c r="FX8">
        <f>IF(OUTPUT!110:110,"AAAAAD/a77M=",0)</f>
        <v>0</v>
      </c>
      <c r="FY8" t="e">
        <f>AND(OUTPUT!C113,"AAAAAD/a77Q=")</f>
        <v>#VALUE!</v>
      </c>
      <c r="FZ8" t="e">
        <f>AND(OUTPUT!D113,"AAAAAD/a77U=")</f>
        <v>#VALUE!</v>
      </c>
      <c r="GA8" t="e">
        <f>AND(OUTPUT!E113,"AAAAAD/a77Y=")</f>
        <v>#VALUE!</v>
      </c>
      <c r="GB8" t="e">
        <f>AND(OUTPUT!F113,"AAAAAD/a77c=")</f>
        <v>#VALUE!</v>
      </c>
      <c r="GC8" t="e">
        <f>AND(OUTPUT!G113,"AAAAAD/a77g=")</f>
        <v>#VALUE!</v>
      </c>
      <c r="GD8" t="e">
        <f>AND(OUTPUT!I110,"AAAAAD/a77k=")</f>
        <v>#VALUE!</v>
      </c>
      <c r="GE8" t="e">
        <f>AND(OUTPUT!#REF!,"AAAAAD/a77o=")</f>
        <v>#REF!</v>
      </c>
      <c r="GF8" t="e">
        <f>AND(OUTPUT!#REF!,"AAAAAD/a77s=")</f>
        <v>#REF!</v>
      </c>
      <c r="GG8" t="e">
        <f>AND(OUTPUT!#REF!,"AAAAAD/a77w=")</f>
        <v>#REF!</v>
      </c>
      <c r="GH8" t="e">
        <f>AND(OUTPUT!#REF!,"AAAAAD/a770=")</f>
        <v>#REF!</v>
      </c>
      <c r="GI8" t="e">
        <f>AND(OUTPUT!#REF!,"AAAAAD/a774=")</f>
        <v>#REF!</v>
      </c>
      <c r="GJ8" t="e">
        <f>AND(OUTPUT!#REF!,"AAAAAD/a778=")</f>
        <v>#REF!</v>
      </c>
      <c r="GK8" t="e">
        <f>AND(OUTPUT!#REF!,"AAAAAD/a78A=")</f>
        <v>#REF!</v>
      </c>
      <c r="GL8">
        <f>IF(OUTPUT!111:111,"AAAAAD/a78E=",0)</f>
        <v>0</v>
      </c>
      <c r="GM8" t="e">
        <f>AND(OUTPUT!C114,"AAAAAD/a78I=")</f>
        <v>#VALUE!</v>
      </c>
      <c r="GN8" t="e">
        <f>AND(OUTPUT!D114,"AAAAAD/a78M=")</f>
        <v>#VALUE!</v>
      </c>
      <c r="GO8" t="e">
        <f>AND(OUTPUT!E114,"AAAAAD/a78Q=")</f>
        <v>#VALUE!</v>
      </c>
      <c r="GP8" t="e">
        <f>AND(OUTPUT!F114,"AAAAAD/a78U=")</f>
        <v>#VALUE!</v>
      </c>
      <c r="GQ8" t="e">
        <f>AND(OUTPUT!G114,"AAAAAD/a78Y=")</f>
        <v>#VALUE!</v>
      </c>
      <c r="GR8" t="e">
        <f>AND(OUTPUT!I111,"AAAAAD/a78c=")</f>
        <v>#VALUE!</v>
      </c>
      <c r="GS8" t="e">
        <f>AND(OUTPUT!#REF!,"AAAAAD/a78g=")</f>
        <v>#REF!</v>
      </c>
      <c r="GT8" t="e">
        <f>AND(OUTPUT!#REF!,"AAAAAD/a78k=")</f>
        <v>#REF!</v>
      </c>
      <c r="GU8" t="e">
        <f>AND(OUTPUT!#REF!,"AAAAAD/a78o=")</f>
        <v>#REF!</v>
      </c>
      <c r="GV8" t="e">
        <f>AND(OUTPUT!#REF!,"AAAAAD/a78s=")</f>
        <v>#REF!</v>
      </c>
      <c r="GW8" t="e">
        <f>AND(OUTPUT!#REF!,"AAAAAD/a78w=")</f>
        <v>#REF!</v>
      </c>
      <c r="GX8" t="e">
        <f>AND(OUTPUT!#REF!,"AAAAAD/a780=")</f>
        <v>#REF!</v>
      </c>
      <c r="GY8" t="e">
        <f>AND(OUTPUT!#REF!,"AAAAAD/a784=")</f>
        <v>#REF!</v>
      </c>
      <c r="GZ8">
        <f>IF(OUTPUT!112:112,"AAAAAD/a788=",0)</f>
        <v>0</v>
      </c>
      <c r="HA8" t="e">
        <f>AND(OUTPUT!C115,"AAAAAD/a79A=")</f>
        <v>#VALUE!</v>
      </c>
      <c r="HB8" t="e">
        <f>AND(OUTPUT!D115,"AAAAAD/a79E=")</f>
        <v>#VALUE!</v>
      </c>
      <c r="HC8" t="e">
        <f>AND(OUTPUT!E115,"AAAAAD/a79I=")</f>
        <v>#VALUE!</v>
      </c>
      <c r="HD8" t="e">
        <f>AND(OUTPUT!F115,"AAAAAD/a79M=")</f>
        <v>#VALUE!</v>
      </c>
      <c r="HE8" t="e">
        <f>AND(OUTPUT!G115,"AAAAAD/a79Q=")</f>
        <v>#VALUE!</v>
      </c>
      <c r="HF8" t="e">
        <f>AND(OUTPUT!I112,"AAAAAD/a79U=")</f>
        <v>#VALUE!</v>
      </c>
      <c r="HG8" t="e">
        <f>AND(OUTPUT!#REF!,"AAAAAD/a79Y=")</f>
        <v>#REF!</v>
      </c>
      <c r="HH8" t="e">
        <f>AND(OUTPUT!#REF!,"AAAAAD/a79c=")</f>
        <v>#REF!</v>
      </c>
      <c r="HI8" t="e">
        <f>AND(OUTPUT!#REF!,"AAAAAD/a79g=")</f>
        <v>#REF!</v>
      </c>
      <c r="HJ8" t="e">
        <f>AND(OUTPUT!#REF!,"AAAAAD/a79k=")</f>
        <v>#REF!</v>
      </c>
      <c r="HK8" t="e">
        <f>AND(OUTPUT!#REF!,"AAAAAD/a79o=")</f>
        <v>#REF!</v>
      </c>
      <c r="HL8" t="e">
        <f>AND(OUTPUT!#REF!,"AAAAAD/a79s=")</f>
        <v>#REF!</v>
      </c>
      <c r="HM8" t="e">
        <f>AND(OUTPUT!#REF!,"AAAAAD/a79w=")</f>
        <v>#REF!</v>
      </c>
      <c r="HN8">
        <f>IF(OUTPUT!113:113,"AAAAAD/a790=",0)</f>
        <v>0</v>
      </c>
      <c r="HO8" t="e">
        <f>AND(OUTPUT!C116,"AAAAAD/a794=")</f>
        <v>#VALUE!</v>
      </c>
      <c r="HP8" t="e">
        <f>AND(OUTPUT!D116,"AAAAAD/a798=")</f>
        <v>#VALUE!</v>
      </c>
      <c r="HQ8" t="e">
        <f>AND(OUTPUT!E116,"AAAAAD/a7+A=")</f>
        <v>#VALUE!</v>
      </c>
      <c r="HR8" t="e">
        <f>AND(OUTPUT!F116,"AAAAAD/a7+E=")</f>
        <v>#VALUE!</v>
      </c>
      <c r="HS8" t="e">
        <f>AND(OUTPUT!G116,"AAAAAD/a7+I=")</f>
        <v>#VALUE!</v>
      </c>
      <c r="HT8" t="e">
        <f>AND(OUTPUT!I113,"AAAAAD/a7+M=")</f>
        <v>#VALUE!</v>
      </c>
      <c r="HU8" t="e">
        <f>AND(OUTPUT!#REF!,"AAAAAD/a7+Q=")</f>
        <v>#REF!</v>
      </c>
      <c r="HV8" t="e">
        <f>AND(OUTPUT!#REF!,"AAAAAD/a7+U=")</f>
        <v>#REF!</v>
      </c>
      <c r="HW8" t="e">
        <f>AND(OUTPUT!#REF!,"AAAAAD/a7+Y=")</f>
        <v>#REF!</v>
      </c>
      <c r="HX8" t="e">
        <f>AND(OUTPUT!#REF!,"AAAAAD/a7+c=")</f>
        <v>#REF!</v>
      </c>
      <c r="HY8" t="e">
        <f>AND(OUTPUT!#REF!,"AAAAAD/a7+g=")</f>
        <v>#REF!</v>
      </c>
      <c r="HZ8" t="e">
        <f>AND(OUTPUT!#REF!,"AAAAAD/a7+k=")</f>
        <v>#REF!</v>
      </c>
      <c r="IA8" t="e">
        <f>AND(OUTPUT!#REF!,"AAAAAD/a7+o=")</f>
        <v>#REF!</v>
      </c>
      <c r="IB8">
        <f>IF(OUTPUT!114:114,"AAAAAD/a7+s=",0)</f>
        <v>0</v>
      </c>
      <c r="IC8" t="e">
        <f>AND(OUTPUT!C117,"AAAAAD/a7+w=")</f>
        <v>#VALUE!</v>
      </c>
      <c r="ID8" t="e">
        <f>AND(OUTPUT!D117,"AAAAAD/a7+0=")</f>
        <v>#VALUE!</v>
      </c>
      <c r="IE8" t="e">
        <f>AND(OUTPUT!E117,"AAAAAD/a7+4=")</f>
        <v>#VALUE!</v>
      </c>
      <c r="IF8" t="e">
        <f>AND(OUTPUT!F117,"AAAAAD/a7+8=")</f>
        <v>#VALUE!</v>
      </c>
      <c r="IG8" t="e">
        <f>AND(OUTPUT!G117,"AAAAAD/a7/A=")</f>
        <v>#VALUE!</v>
      </c>
      <c r="IH8" t="e">
        <f>AND(OUTPUT!I114,"AAAAAD/a7/E=")</f>
        <v>#VALUE!</v>
      </c>
      <c r="II8" t="e">
        <f>AND(OUTPUT!#REF!,"AAAAAD/a7/I=")</f>
        <v>#REF!</v>
      </c>
      <c r="IJ8" t="e">
        <f>AND(OUTPUT!#REF!,"AAAAAD/a7/M=")</f>
        <v>#REF!</v>
      </c>
      <c r="IK8" t="e">
        <f>AND(OUTPUT!#REF!,"AAAAAD/a7/Q=")</f>
        <v>#REF!</v>
      </c>
      <c r="IL8" t="e">
        <f>AND(OUTPUT!#REF!,"AAAAAD/a7/U=")</f>
        <v>#REF!</v>
      </c>
      <c r="IM8" t="e">
        <f>AND(OUTPUT!#REF!,"AAAAAD/a7/Y=")</f>
        <v>#REF!</v>
      </c>
      <c r="IN8" t="e">
        <f>AND(OUTPUT!#REF!,"AAAAAD/a7/c=")</f>
        <v>#REF!</v>
      </c>
      <c r="IO8" t="e">
        <f>AND(OUTPUT!#REF!,"AAAAAD/a7/g=")</f>
        <v>#REF!</v>
      </c>
      <c r="IP8">
        <f>IF(OUTPUT!115:115,"AAAAAD/a7/k=",0)</f>
        <v>0</v>
      </c>
      <c r="IQ8" t="e">
        <f>AND(OUTPUT!C118,"AAAAAD/a7/o=")</f>
        <v>#VALUE!</v>
      </c>
      <c r="IR8" t="e">
        <f>AND(OUTPUT!D118,"AAAAAD/a7/s=")</f>
        <v>#VALUE!</v>
      </c>
      <c r="IS8" t="e">
        <f>AND(OUTPUT!E118,"AAAAAD/a7/w=")</f>
        <v>#VALUE!</v>
      </c>
      <c r="IT8" t="e">
        <f>AND(OUTPUT!F118,"AAAAAD/a7/0=")</f>
        <v>#VALUE!</v>
      </c>
      <c r="IU8" t="e">
        <f>AND(OUTPUT!G118,"AAAAAD/a7/4=")</f>
        <v>#VALUE!</v>
      </c>
      <c r="IV8" t="e">
        <f>AND(OUTPUT!I115,"AAAAAD/a7/8=")</f>
        <v>#VALUE!</v>
      </c>
    </row>
    <row r="9" spans="1:256" x14ac:dyDescent="0.2">
      <c r="A9" t="e">
        <f>AND(OUTPUT!#REF!,"AAAAAB23rwA=")</f>
        <v>#REF!</v>
      </c>
      <c r="B9" t="e">
        <f>AND(OUTPUT!#REF!,"AAAAAB23rwE=")</f>
        <v>#REF!</v>
      </c>
      <c r="C9" t="e">
        <f>AND(OUTPUT!#REF!,"AAAAAB23rwI=")</f>
        <v>#REF!</v>
      </c>
      <c r="D9" t="e">
        <f>AND(OUTPUT!#REF!,"AAAAAB23rwM=")</f>
        <v>#REF!</v>
      </c>
      <c r="E9" t="e">
        <f>AND(OUTPUT!#REF!,"AAAAAB23rwQ=")</f>
        <v>#REF!</v>
      </c>
      <c r="F9" t="e">
        <f>AND(OUTPUT!#REF!,"AAAAAB23rwU=")</f>
        <v>#REF!</v>
      </c>
      <c r="G9" t="e">
        <f>AND(OUTPUT!#REF!,"AAAAAB23rwY=")</f>
        <v>#REF!</v>
      </c>
      <c r="H9">
        <f>IF(OUTPUT!116:116,"AAAAAB23rwc=",0)</f>
        <v>0</v>
      </c>
      <c r="I9" t="e">
        <f>AND(OUTPUT!C119,"AAAAAB23rwg=")</f>
        <v>#VALUE!</v>
      </c>
      <c r="J9" t="e">
        <f>AND(OUTPUT!D119,"AAAAAB23rwk=")</f>
        <v>#VALUE!</v>
      </c>
      <c r="K9" t="e">
        <f>AND(OUTPUT!E119,"AAAAAB23rwo=")</f>
        <v>#VALUE!</v>
      </c>
      <c r="L9" t="e">
        <f>AND(OUTPUT!F119,"AAAAAB23rws=")</f>
        <v>#VALUE!</v>
      </c>
      <c r="M9" t="e">
        <f>AND(OUTPUT!G119,"AAAAAB23rww=")</f>
        <v>#VALUE!</v>
      </c>
      <c r="N9" t="e">
        <f>AND(OUTPUT!I116,"AAAAAB23rw0=")</f>
        <v>#VALUE!</v>
      </c>
      <c r="O9" t="e">
        <f>AND(OUTPUT!#REF!,"AAAAAB23rw4=")</f>
        <v>#REF!</v>
      </c>
      <c r="P9" t="e">
        <f>AND(OUTPUT!#REF!,"AAAAAB23rw8=")</f>
        <v>#REF!</v>
      </c>
      <c r="Q9" t="e">
        <f>AND(OUTPUT!#REF!,"AAAAAB23rxA=")</f>
        <v>#REF!</v>
      </c>
      <c r="R9" t="e">
        <f>AND(OUTPUT!#REF!,"AAAAAB23rxE=")</f>
        <v>#REF!</v>
      </c>
      <c r="S9" t="e">
        <f>AND(OUTPUT!#REF!,"AAAAAB23rxI=")</f>
        <v>#REF!</v>
      </c>
      <c r="T9" t="e">
        <f>AND(OUTPUT!#REF!,"AAAAAB23rxM=")</f>
        <v>#REF!</v>
      </c>
      <c r="U9" t="e">
        <f>AND(OUTPUT!#REF!,"AAAAAB23rxQ=")</f>
        <v>#REF!</v>
      </c>
      <c r="V9">
        <f>IF(OUTPUT!117:117,"AAAAAB23rxU=",0)</f>
        <v>0</v>
      </c>
      <c r="W9" t="e">
        <f>AND(OUTPUT!C120,"AAAAAB23rxY=")</f>
        <v>#VALUE!</v>
      </c>
      <c r="X9" t="e">
        <f>AND(OUTPUT!D120,"AAAAAB23rxc=")</f>
        <v>#VALUE!</v>
      </c>
      <c r="Y9" t="e">
        <f>AND(OUTPUT!E120,"AAAAAB23rxg=")</f>
        <v>#VALUE!</v>
      </c>
      <c r="Z9" t="e">
        <f>AND(OUTPUT!F120,"AAAAAB23rxk=")</f>
        <v>#VALUE!</v>
      </c>
      <c r="AA9" t="e">
        <f>AND(OUTPUT!G120,"AAAAAB23rxo=")</f>
        <v>#VALUE!</v>
      </c>
      <c r="AB9" t="e">
        <f>AND(OUTPUT!I117,"AAAAAB23rxs=")</f>
        <v>#VALUE!</v>
      </c>
      <c r="AC9" t="e">
        <f>AND(OUTPUT!#REF!,"AAAAAB23rxw=")</f>
        <v>#REF!</v>
      </c>
      <c r="AD9" t="e">
        <f>AND(OUTPUT!#REF!,"AAAAAB23rx0=")</f>
        <v>#REF!</v>
      </c>
      <c r="AE9" t="e">
        <f>AND(OUTPUT!#REF!,"AAAAAB23rx4=")</f>
        <v>#REF!</v>
      </c>
      <c r="AF9" t="e">
        <f>AND(OUTPUT!#REF!,"AAAAAB23rx8=")</f>
        <v>#REF!</v>
      </c>
      <c r="AG9" t="e">
        <f>AND(OUTPUT!#REF!,"AAAAAB23ryA=")</f>
        <v>#REF!</v>
      </c>
      <c r="AH9" t="e">
        <f>AND(OUTPUT!#REF!,"AAAAAB23ryE=")</f>
        <v>#REF!</v>
      </c>
      <c r="AI9" t="e">
        <f>AND(OUTPUT!#REF!,"AAAAAB23ryI=")</f>
        <v>#REF!</v>
      </c>
      <c r="AJ9">
        <f>IF(OUTPUT!118:118,"AAAAAB23ryM=",0)</f>
        <v>0</v>
      </c>
      <c r="AK9" t="e">
        <f>AND(OUTPUT!C121,"AAAAAB23ryQ=")</f>
        <v>#VALUE!</v>
      </c>
      <c r="AL9" t="e">
        <f>AND(OUTPUT!D121,"AAAAAB23ryU=")</f>
        <v>#VALUE!</v>
      </c>
      <c r="AM9" t="e">
        <f>AND(OUTPUT!E121,"AAAAAB23ryY=")</f>
        <v>#VALUE!</v>
      </c>
      <c r="AN9" t="e">
        <f>AND(OUTPUT!F121,"AAAAAB23ryc=")</f>
        <v>#VALUE!</v>
      </c>
      <c r="AO9" t="e">
        <f>AND(OUTPUT!G121,"AAAAAB23ryg=")</f>
        <v>#VALUE!</v>
      </c>
      <c r="AP9" t="e">
        <f>AND(OUTPUT!I118,"AAAAAB23ryk=")</f>
        <v>#VALUE!</v>
      </c>
      <c r="AQ9" t="e">
        <f>AND(OUTPUT!#REF!,"AAAAAB23ryo=")</f>
        <v>#REF!</v>
      </c>
      <c r="AR9" t="e">
        <f>AND(OUTPUT!#REF!,"AAAAAB23rys=")</f>
        <v>#REF!</v>
      </c>
      <c r="AS9" t="e">
        <f>AND(OUTPUT!#REF!,"AAAAAB23ryw=")</f>
        <v>#REF!</v>
      </c>
      <c r="AT9" t="e">
        <f>AND(OUTPUT!#REF!,"AAAAAB23ry0=")</f>
        <v>#REF!</v>
      </c>
      <c r="AU9" t="e">
        <f>AND(OUTPUT!#REF!,"AAAAAB23ry4=")</f>
        <v>#REF!</v>
      </c>
      <c r="AV9" t="e">
        <f>AND(OUTPUT!#REF!,"AAAAAB23ry8=")</f>
        <v>#REF!</v>
      </c>
      <c r="AW9" t="e">
        <f>AND(OUTPUT!#REF!,"AAAAAB23rzA=")</f>
        <v>#REF!</v>
      </c>
      <c r="AX9">
        <f>IF(OUTPUT!119:119,"AAAAAB23rzE=",0)</f>
        <v>0</v>
      </c>
      <c r="AY9" t="e">
        <f>AND(OUTPUT!C122,"AAAAAB23rzI=")</f>
        <v>#VALUE!</v>
      </c>
      <c r="AZ9" t="e">
        <f>AND(OUTPUT!D122,"AAAAAB23rzM=")</f>
        <v>#VALUE!</v>
      </c>
      <c r="BA9" t="e">
        <f>AND(OUTPUT!E122,"AAAAAB23rzQ=")</f>
        <v>#VALUE!</v>
      </c>
      <c r="BB9" t="e">
        <f>AND(OUTPUT!F122,"AAAAAB23rzU=")</f>
        <v>#VALUE!</v>
      </c>
      <c r="BC9" t="e">
        <f>AND(OUTPUT!G122,"AAAAAB23rzY=")</f>
        <v>#VALUE!</v>
      </c>
      <c r="BD9" t="e">
        <f>AND(OUTPUT!I119,"AAAAAB23rzc=")</f>
        <v>#VALUE!</v>
      </c>
      <c r="BE9" t="e">
        <f>AND(OUTPUT!#REF!,"AAAAAB23rzg=")</f>
        <v>#REF!</v>
      </c>
      <c r="BF9" t="e">
        <f>AND(OUTPUT!#REF!,"AAAAAB23rzk=")</f>
        <v>#REF!</v>
      </c>
      <c r="BG9" t="e">
        <f>AND(OUTPUT!#REF!,"AAAAAB23rzo=")</f>
        <v>#REF!</v>
      </c>
      <c r="BH9" t="e">
        <f>AND(OUTPUT!#REF!,"AAAAAB23rzs=")</f>
        <v>#REF!</v>
      </c>
      <c r="BI9" t="e">
        <f>AND(OUTPUT!#REF!,"AAAAAB23rzw=")</f>
        <v>#REF!</v>
      </c>
      <c r="BJ9" t="e">
        <f>AND(OUTPUT!#REF!,"AAAAAB23rz0=")</f>
        <v>#REF!</v>
      </c>
      <c r="BK9" t="e">
        <f>AND(OUTPUT!#REF!,"AAAAAB23rz4=")</f>
        <v>#REF!</v>
      </c>
      <c r="BL9">
        <f>IF(OUTPUT!120:120,"AAAAAB23rz8=",0)</f>
        <v>0</v>
      </c>
      <c r="BM9" t="e">
        <f>AND(OUTPUT!C123,"AAAAAB23r0A=")</f>
        <v>#VALUE!</v>
      </c>
      <c r="BN9" t="e">
        <f>AND(OUTPUT!D123,"AAAAAB23r0E=")</f>
        <v>#VALUE!</v>
      </c>
      <c r="BO9" t="e">
        <f>AND(OUTPUT!E123,"AAAAAB23r0I=")</f>
        <v>#VALUE!</v>
      </c>
      <c r="BP9" t="e">
        <f>AND(OUTPUT!F123,"AAAAAB23r0M=")</f>
        <v>#VALUE!</v>
      </c>
      <c r="BQ9" t="e">
        <f>AND(OUTPUT!G123,"AAAAAB23r0Q=")</f>
        <v>#VALUE!</v>
      </c>
      <c r="BR9" t="e">
        <f>AND(OUTPUT!I120,"AAAAAB23r0U=")</f>
        <v>#VALUE!</v>
      </c>
      <c r="BS9" t="e">
        <f>AND(OUTPUT!#REF!,"AAAAAB23r0Y=")</f>
        <v>#REF!</v>
      </c>
      <c r="BT9" t="e">
        <f>AND(OUTPUT!#REF!,"AAAAAB23r0c=")</f>
        <v>#REF!</v>
      </c>
      <c r="BU9" t="e">
        <f>AND(OUTPUT!#REF!,"AAAAAB23r0g=")</f>
        <v>#REF!</v>
      </c>
      <c r="BV9" t="e">
        <f>AND(OUTPUT!#REF!,"AAAAAB23r0k=")</f>
        <v>#REF!</v>
      </c>
      <c r="BW9" t="e">
        <f>AND(OUTPUT!#REF!,"AAAAAB23r0o=")</f>
        <v>#REF!</v>
      </c>
      <c r="BX9" t="e">
        <f>AND(OUTPUT!#REF!,"AAAAAB23r0s=")</f>
        <v>#REF!</v>
      </c>
      <c r="BY9" t="e">
        <f>AND(OUTPUT!#REF!,"AAAAAB23r0w=")</f>
        <v>#REF!</v>
      </c>
      <c r="BZ9">
        <f>IF(OUTPUT!121:121,"AAAAAB23r00=",0)</f>
        <v>0</v>
      </c>
      <c r="CA9" t="e">
        <f>AND(OUTPUT!C134,"AAAAAB23r04=")</f>
        <v>#VALUE!</v>
      </c>
      <c r="CB9" t="e">
        <f>AND(OUTPUT!D124,"AAAAAB23r08=")</f>
        <v>#VALUE!</v>
      </c>
      <c r="CC9" t="e">
        <f>AND(OUTPUT!E124,"AAAAAB23r1A=")</f>
        <v>#VALUE!</v>
      </c>
      <c r="CD9" t="e">
        <f>AND(OUTPUT!F124,"AAAAAB23r1E=")</f>
        <v>#VALUE!</v>
      </c>
      <c r="CE9" t="e">
        <f>AND(OUTPUT!G124,"AAAAAB23r1I=")</f>
        <v>#VALUE!</v>
      </c>
      <c r="CF9" t="e">
        <f>AND(OUTPUT!I121,"AAAAAB23r1M=")</f>
        <v>#VALUE!</v>
      </c>
      <c r="CG9" t="e">
        <f>AND(OUTPUT!#REF!,"AAAAAB23r1Q=")</f>
        <v>#REF!</v>
      </c>
      <c r="CH9" t="e">
        <f>AND(OUTPUT!#REF!,"AAAAAB23r1U=")</f>
        <v>#REF!</v>
      </c>
      <c r="CI9" t="e">
        <f>AND(OUTPUT!#REF!,"AAAAAB23r1Y=")</f>
        <v>#REF!</v>
      </c>
      <c r="CJ9" t="e">
        <f>AND(OUTPUT!#REF!,"AAAAAB23r1c=")</f>
        <v>#REF!</v>
      </c>
      <c r="CK9" t="e">
        <f>AND(OUTPUT!#REF!,"AAAAAB23r1g=")</f>
        <v>#REF!</v>
      </c>
      <c r="CL9" t="e">
        <f>AND(OUTPUT!#REF!,"AAAAAB23r1k=")</f>
        <v>#REF!</v>
      </c>
      <c r="CM9" t="e">
        <f>AND(OUTPUT!#REF!,"AAAAAB23r1o=")</f>
        <v>#REF!</v>
      </c>
      <c r="CN9">
        <f>IF(OUTPUT!122:122,"AAAAAB23r1s=",0)</f>
        <v>0</v>
      </c>
      <c r="CO9" t="e">
        <f>AND(OUTPUT!C135,"AAAAAB23r1w=")</f>
        <v>#VALUE!</v>
      </c>
      <c r="CP9" t="e">
        <f>AND(OUTPUT!D125,"AAAAAB23r10=")</f>
        <v>#VALUE!</v>
      </c>
      <c r="CQ9" t="e">
        <f>AND(OUTPUT!E125,"AAAAAB23r14=")</f>
        <v>#VALUE!</v>
      </c>
      <c r="CR9" t="e">
        <f>AND(OUTPUT!F125,"AAAAAB23r18=")</f>
        <v>#VALUE!</v>
      </c>
      <c r="CS9" t="e">
        <f>AND(OUTPUT!G125,"AAAAAB23r2A=")</f>
        <v>#VALUE!</v>
      </c>
      <c r="CT9" t="e">
        <f>AND(OUTPUT!I122,"AAAAAB23r2E=")</f>
        <v>#VALUE!</v>
      </c>
      <c r="CU9" t="e">
        <f>AND(OUTPUT!#REF!,"AAAAAB23r2I=")</f>
        <v>#REF!</v>
      </c>
      <c r="CV9" t="e">
        <f>AND(OUTPUT!#REF!,"AAAAAB23r2M=")</f>
        <v>#REF!</v>
      </c>
      <c r="CW9" t="e">
        <f>AND(OUTPUT!#REF!,"AAAAAB23r2Q=")</f>
        <v>#REF!</v>
      </c>
      <c r="CX9" t="e">
        <f>AND(OUTPUT!#REF!,"AAAAAB23r2U=")</f>
        <v>#REF!</v>
      </c>
      <c r="CY9" t="e">
        <f>AND(OUTPUT!#REF!,"AAAAAB23r2Y=")</f>
        <v>#REF!</v>
      </c>
      <c r="CZ9" t="e">
        <f>AND(OUTPUT!#REF!,"AAAAAB23r2c=")</f>
        <v>#REF!</v>
      </c>
      <c r="DA9" t="e">
        <f>AND(OUTPUT!#REF!,"AAAAAB23r2g=")</f>
        <v>#REF!</v>
      </c>
      <c r="DB9">
        <f>IF(OUTPUT!123:123,"AAAAAB23r2k=",0)</f>
        <v>0</v>
      </c>
      <c r="DC9" t="e">
        <f>AND(OUTPUT!C136,"AAAAAB23r2o=")</f>
        <v>#VALUE!</v>
      </c>
      <c r="DD9" t="e">
        <f>AND(OUTPUT!D126,"AAAAAB23r2s=")</f>
        <v>#VALUE!</v>
      </c>
      <c r="DE9" t="e">
        <f>AND(OUTPUT!E126,"AAAAAB23r2w=")</f>
        <v>#VALUE!</v>
      </c>
      <c r="DF9" t="e">
        <f>AND(OUTPUT!F126,"AAAAAB23r20=")</f>
        <v>#VALUE!</v>
      </c>
      <c r="DG9" t="e">
        <f>AND(OUTPUT!G126,"AAAAAB23r24=")</f>
        <v>#VALUE!</v>
      </c>
      <c r="DH9" t="e">
        <f>AND(OUTPUT!I123,"AAAAAB23r28=")</f>
        <v>#VALUE!</v>
      </c>
      <c r="DI9" t="e">
        <f>AND(OUTPUT!#REF!,"AAAAAB23r3A=")</f>
        <v>#REF!</v>
      </c>
      <c r="DJ9" t="e">
        <f>AND(OUTPUT!#REF!,"AAAAAB23r3E=")</f>
        <v>#REF!</v>
      </c>
      <c r="DK9" t="e">
        <f>AND(OUTPUT!#REF!,"AAAAAB23r3I=")</f>
        <v>#REF!</v>
      </c>
      <c r="DL9" t="e">
        <f>AND(OUTPUT!#REF!,"AAAAAB23r3M=")</f>
        <v>#REF!</v>
      </c>
      <c r="DM9" t="e">
        <f>AND(OUTPUT!#REF!,"AAAAAB23r3Q=")</f>
        <v>#REF!</v>
      </c>
      <c r="DN9" t="e">
        <f>AND(OUTPUT!#REF!,"AAAAAB23r3U=")</f>
        <v>#REF!</v>
      </c>
      <c r="DO9" t="e">
        <f>AND(OUTPUT!#REF!,"AAAAAB23r3Y=")</f>
        <v>#REF!</v>
      </c>
      <c r="DP9">
        <f>IF(OUTPUT!124:124,"AAAAAB23r3c=",0)</f>
        <v>0</v>
      </c>
      <c r="DQ9" t="e">
        <f>AND(OUTPUT!C137,"AAAAAB23r3g=")</f>
        <v>#VALUE!</v>
      </c>
      <c r="DR9" t="e">
        <f>AND(OUTPUT!D127,"AAAAAB23r3k=")</f>
        <v>#VALUE!</v>
      </c>
      <c r="DS9" t="e">
        <f>AND(OUTPUT!E127,"AAAAAB23r3o=")</f>
        <v>#VALUE!</v>
      </c>
      <c r="DT9" t="e">
        <f>AND(OUTPUT!F127,"AAAAAB23r3s=")</f>
        <v>#VALUE!</v>
      </c>
      <c r="DU9" t="e">
        <f>AND(OUTPUT!G127,"AAAAAB23r3w=")</f>
        <v>#VALUE!</v>
      </c>
      <c r="DV9" t="e">
        <f>AND(OUTPUT!I124,"AAAAAB23r30=")</f>
        <v>#VALUE!</v>
      </c>
      <c r="DW9" t="e">
        <f>AND(OUTPUT!#REF!,"AAAAAB23r34=")</f>
        <v>#REF!</v>
      </c>
      <c r="DX9" t="e">
        <f>AND(OUTPUT!#REF!,"AAAAAB23r38=")</f>
        <v>#REF!</v>
      </c>
      <c r="DY9" t="e">
        <f>AND(OUTPUT!#REF!,"AAAAAB23r4A=")</f>
        <v>#REF!</v>
      </c>
      <c r="DZ9" t="e">
        <f>AND(OUTPUT!#REF!,"AAAAAB23r4E=")</f>
        <v>#REF!</v>
      </c>
      <c r="EA9" t="e">
        <f>AND(OUTPUT!#REF!,"AAAAAB23r4I=")</f>
        <v>#REF!</v>
      </c>
      <c r="EB9" t="e">
        <f>AND(OUTPUT!#REF!,"AAAAAB23r4M=")</f>
        <v>#REF!</v>
      </c>
      <c r="EC9" t="e">
        <f>AND(OUTPUT!#REF!,"AAAAAB23r4Q=")</f>
        <v>#REF!</v>
      </c>
      <c r="ED9">
        <f>IF(OUTPUT!125:125,"AAAAAB23r4U=",0)</f>
        <v>0</v>
      </c>
      <c r="EE9" t="e">
        <f>AND(OUTPUT!C138,"AAAAAB23r4Y=")</f>
        <v>#VALUE!</v>
      </c>
      <c r="EF9" t="e">
        <f>AND(OUTPUT!D128,"AAAAAB23r4c=")</f>
        <v>#VALUE!</v>
      </c>
      <c r="EG9" t="e">
        <f>AND(OUTPUT!E128,"AAAAAB23r4g=")</f>
        <v>#VALUE!</v>
      </c>
      <c r="EH9" t="e">
        <f>AND(OUTPUT!F128,"AAAAAB23r4k=")</f>
        <v>#VALUE!</v>
      </c>
      <c r="EI9" t="e">
        <f>AND(OUTPUT!G128,"AAAAAB23r4o=")</f>
        <v>#VALUE!</v>
      </c>
      <c r="EJ9" t="e">
        <f>AND(OUTPUT!I125,"AAAAAB23r4s=")</f>
        <v>#VALUE!</v>
      </c>
      <c r="EK9" t="e">
        <f>AND(OUTPUT!#REF!,"AAAAAB23r4w=")</f>
        <v>#REF!</v>
      </c>
      <c r="EL9" t="e">
        <f>AND(OUTPUT!#REF!,"AAAAAB23r40=")</f>
        <v>#REF!</v>
      </c>
      <c r="EM9" t="e">
        <f>AND(OUTPUT!#REF!,"AAAAAB23r44=")</f>
        <v>#REF!</v>
      </c>
      <c r="EN9" t="e">
        <f>AND(OUTPUT!#REF!,"AAAAAB23r48=")</f>
        <v>#REF!</v>
      </c>
      <c r="EO9" t="e">
        <f>AND(OUTPUT!#REF!,"AAAAAB23r5A=")</f>
        <v>#REF!</v>
      </c>
      <c r="EP9" t="e">
        <f>AND(OUTPUT!#REF!,"AAAAAB23r5E=")</f>
        <v>#REF!</v>
      </c>
      <c r="EQ9" t="e">
        <f>AND(OUTPUT!#REF!,"AAAAAB23r5I=")</f>
        <v>#REF!</v>
      </c>
      <c r="ER9">
        <f>IF(OUTPUT!126:126,"AAAAAB23r5M=",0)</f>
        <v>0</v>
      </c>
      <c r="ES9" t="e">
        <f>AND(OUTPUT!C139,"AAAAAB23r5Q=")</f>
        <v>#VALUE!</v>
      </c>
      <c r="ET9" t="e">
        <f>AND(OUTPUT!D129,"AAAAAB23r5U=")</f>
        <v>#VALUE!</v>
      </c>
      <c r="EU9" t="e">
        <f>AND(OUTPUT!E129,"AAAAAB23r5Y=")</f>
        <v>#VALUE!</v>
      </c>
      <c r="EV9" t="e">
        <f>AND(OUTPUT!F129,"AAAAAB23r5c=")</f>
        <v>#VALUE!</v>
      </c>
      <c r="EW9" t="e">
        <f>AND(OUTPUT!G129,"AAAAAB23r5g=")</f>
        <v>#VALUE!</v>
      </c>
      <c r="EX9" t="e">
        <f>AND(OUTPUT!I126,"AAAAAB23r5k=")</f>
        <v>#VALUE!</v>
      </c>
      <c r="EY9" t="e">
        <f>AND(OUTPUT!#REF!,"AAAAAB23r5o=")</f>
        <v>#REF!</v>
      </c>
      <c r="EZ9" t="e">
        <f>AND(OUTPUT!#REF!,"AAAAAB23r5s=")</f>
        <v>#REF!</v>
      </c>
      <c r="FA9" t="e">
        <f>AND(OUTPUT!#REF!,"AAAAAB23r5w=")</f>
        <v>#REF!</v>
      </c>
      <c r="FB9" t="e">
        <f>AND(OUTPUT!#REF!,"AAAAAB23r50=")</f>
        <v>#REF!</v>
      </c>
      <c r="FC9" t="e">
        <f>AND(OUTPUT!#REF!,"AAAAAB23r54=")</f>
        <v>#REF!</v>
      </c>
      <c r="FD9" t="e">
        <f>AND(OUTPUT!#REF!,"AAAAAB23r58=")</f>
        <v>#REF!</v>
      </c>
      <c r="FE9" t="e">
        <f>AND(OUTPUT!#REF!,"AAAAAB23r6A=")</f>
        <v>#REF!</v>
      </c>
      <c r="FF9">
        <f>IF(OUTPUT!127:127,"AAAAAB23r6E=",0)</f>
        <v>0</v>
      </c>
      <c r="FG9" t="e">
        <f>AND(OUTPUT!C140,"AAAAAB23r6I=")</f>
        <v>#VALUE!</v>
      </c>
      <c r="FH9" t="e">
        <f>AND(OUTPUT!D130,"AAAAAB23r6M=")</f>
        <v>#VALUE!</v>
      </c>
      <c r="FI9" t="e">
        <f>AND(OUTPUT!E130,"AAAAAB23r6Q=")</f>
        <v>#VALUE!</v>
      </c>
      <c r="FJ9" t="e">
        <f>AND(OUTPUT!F130,"AAAAAB23r6U=")</f>
        <v>#VALUE!</v>
      </c>
      <c r="FK9" t="e">
        <f>AND(OUTPUT!G130,"AAAAAB23r6Y=")</f>
        <v>#VALUE!</v>
      </c>
      <c r="FL9" t="e">
        <f>AND(OUTPUT!I127,"AAAAAB23r6c=")</f>
        <v>#VALUE!</v>
      </c>
      <c r="FM9" t="e">
        <f>AND(OUTPUT!#REF!,"AAAAAB23r6g=")</f>
        <v>#REF!</v>
      </c>
      <c r="FN9" t="e">
        <f>AND(OUTPUT!#REF!,"AAAAAB23r6k=")</f>
        <v>#REF!</v>
      </c>
      <c r="FO9" t="e">
        <f>AND(OUTPUT!#REF!,"AAAAAB23r6o=")</f>
        <v>#REF!</v>
      </c>
      <c r="FP9" t="e">
        <f>AND(OUTPUT!#REF!,"AAAAAB23r6s=")</f>
        <v>#REF!</v>
      </c>
      <c r="FQ9" t="e">
        <f>AND(OUTPUT!#REF!,"AAAAAB23r6w=")</f>
        <v>#REF!</v>
      </c>
      <c r="FR9" t="e">
        <f>AND(OUTPUT!#REF!,"AAAAAB23r60=")</f>
        <v>#REF!</v>
      </c>
      <c r="FS9" t="e">
        <f>AND(OUTPUT!#REF!,"AAAAAB23r64=")</f>
        <v>#REF!</v>
      </c>
      <c r="FT9">
        <f>IF(OUTPUT!128:128,"AAAAAB23r68=",0)</f>
        <v>0</v>
      </c>
      <c r="FU9" t="e">
        <f>AND(OUTPUT!C141,"AAAAAB23r7A=")</f>
        <v>#VALUE!</v>
      </c>
      <c r="FV9" t="e">
        <f>AND(OUTPUT!D131,"AAAAAB23r7E=")</f>
        <v>#VALUE!</v>
      </c>
      <c r="FW9" t="e">
        <f>AND(OUTPUT!E131,"AAAAAB23r7I=")</f>
        <v>#VALUE!</v>
      </c>
      <c r="FX9" t="e">
        <f>AND(OUTPUT!F131,"AAAAAB23r7M=")</f>
        <v>#VALUE!</v>
      </c>
      <c r="FY9" t="e">
        <f>AND(OUTPUT!G131,"AAAAAB23r7Q=")</f>
        <v>#VALUE!</v>
      </c>
      <c r="FZ9" t="e">
        <f>AND(OUTPUT!I128,"AAAAAB23r7U=")</f>
        <v>#VALUE!</v>
      </c>
      <c r="GA9" t="e">
        <f>AND(OUTPUT!#REF!,"AAAAAB23r7Y=")</f>
        <v>#REF!</v>
      </c>
      <c r="GB9" t="e">
        <f>AND(OUTPUT!#REF!,"AAAAAB23r7c=")</f>
        <v>#REF!</v>
      </c>
      <c r="GC9" t="e">
        <f>AND(OUTPUT!#REF!,"AAAAAB23r7g=")</f>
        <v>#REF!</v>
      </c>
      <c r="GD9" t="e">
        <f>AND(OUTPUT!#REF!,"AAAAAB23r7k=")</f>
        <v>#REF!</v>
      </c>
      <c r="GE9" t="e">
        <f>AND(OUTPUT!#REF!,"AAAAAB23r7o=")</f>
        <v>#REF!</v>
      </c>
      <c r="GF9" t="e">
        <f>AND(OUTPUT!#REF!,"AAAAAB23r7s=")</f>
        <v>#REF!</v>
      </c>
      <c r="GG9" t="e">
        <f>AND(OUTPUT!#REF!,"AAAAAB23r7w=")</f>
        <v>#REF!</v>
      </c>
      <c r="GH9">
        <f>IF(OUTPUT!129:129,"AAAAAB23r70=",0)</f>
        <v>0</v>
      </c>
      <c r="GI9" t="e">
        <f>AND(OUTPUT!C142,"AAAAAB23r74=")</f>
        <v>#VALUE!</v>
      </c>
      <c r="GJ9" t="e">
        <f>AND(OUTPUT!D132,"AAAAAB23r78=")</f>
        <v>#VALUE!</v>
      </c>
      <c r="GK9" t="e">
        <f>AND(OUTPUT!E132,"AAAAAB23r8A=")</f>
        <v>#VALUE!</v>
      </c>
      <c r="GL9" t="e">
        <f>AND(OUTPUT!F132,"AAAAAB23r8E=")</f>
        <v>#VALUE!</v>
      </c>
      <c r="GM9" t="e">
        <f>AND(OUTPUT!G132,"AAAAAB23r8I=")</f>
        <v>#VALUE!</v>
      </c>
      <c r="GN9" t="e">
        <f>AND(OUTPUT!I129,"AAAAAB23r8M=")</f>
        <v>#VALUE!</v>
      </c>
      <c r="GO9" t="e">
        <f>AND(OUTPUT!#REF!,"AAAAAB23r8Q=")</f>
        <v>#REF!</v>
      </c>
      <c r="GP9" t="e">
        <f>AND(OUTPUT!#REF!,"AAAAAB23r8U=")</f>
        <v>#REF!</v>
      </c>
      <c r="GQ9" t="e">
        <f>AND(OUTPUT!#REF!,"AAAAAB23r8Y=")</f>
        <v>#REF!</v>
      </c>
      <c r="GR9" t="e">
        <f>AND(OUTPUT!#REF!,"AAAAAB23r8c=")</f>
        <v>#REF!</v>
      </c>
      <c r="GS9" t="e">
        <f>AND(OUTPUT!#REF!,"AAAAAB23r8g=")</f>
        <v>#REF!</v>
      </c>
      <c r="GT9" t="e">
        <f>AND(OUTPUT!#REF!,"AAAAAB23r8k=")</f>
        <v>#REF!</v>
      </c>
      <c r="GU9" t="e">
        <f>AND(OUTPUT!#REF!,"AAAAAB23r8o=")</f>
        <v>#REF!</v>
      </c>
      <c r="GV9">
        <f>IF(OUTPUT!130:130,"AAAAAB23r8s=",0)</f>
        <v>0</v>
      </c>
      <c r="GW9" t="e">
        <f>AND(OUTPUT!C143,"AAAAAB23r8w=")</f>
        <v>#VALUE!</v>
      </c>
      <c r="GX9" t="e">
        <f>AND(OUTPUT!D133,"AAAAAB23r80=")</f>
        <v>#VALUE!</v>
      </c>
      <c r="GY9" t="e">
        <f>AND(OUTPUT!E133,"AAAAAB23r84=")</f>
        <v>#VALUE!</v>
      </c>
      <c r="GZ9" t="e">
        <f>AND(OUTPUT!F133,"AAAAAB23r88=")</f>
        <v>#VALUE!</v>
      </c>
      <c r="HA9" t="e">
        <f>AND(OUTPUT!G133,"AAAAAB23r9A=")</f>
        <v>#VALUE!</v>
      </c>
      <c r="HB9" t="e">
        <f>AND(OUTPUT!I130,"AAAAAB23r9E=")</f>
        <v>#VALUE!</v>
      </c>
      <c r="HC9" t="e">
        <f>AND(OUTPUT!#REF!,"AAAAAB23r9I=")</f>
        <v>#REF!</v>
      </c>
      <c r="HD9" t="e">
        <f>AND(OUTPUT!#REF!,"AAAAAB23r9M=")</f>
        <v>#REF!</v>
      </c>
      <c r="HE9" t="e">
        <f>AND(OUTPUT!#REF!,"AAAAAB23r9Q=")</f>
        <v>#REF!</v>
      </c>
      <c r="HF9" t="e">
        <f>AND(OUTPUT!#REF!,"AAAAAB23r9U=")</f>
        <v>#REF!</v>
      </c>
      <c r="HG9" t="e">
        <f>AND(OUTPUT!#REF!,"AAAAAB23r9Y=")</f>
        <v>#REF!</v>
      </c>
      <c r="HH9" t="e">
        <f>AND(OUTPUT!#REF!,"AAAAAB23r9c=")</f>
        <v>#REF!</v>
      </c>
      <c r="HI9" t="e">
        <f>AND(OUTPUT!#REF!,"AAAAAB23r9g=")</f>
        <v>#REF!</v>
      </c>
      <c r="HJ9">
        <f>IF(OUTPUT!131:131,"AAAAAB23r9k=",0)</f>
        <v>0</v>
      </c>
      <c r="HK9" t="e">
        <f>AND(OUTPUT!C144,"AAAAAB23r9o=")</f>
        <v>#VALUE!</v>
      </c>
      <c r="HL9" t="e">
        <f>AND(OUTPUT!D134,"AAAAAB23r9s=")</f>
        <v>#VALUE!</v>
      </c>
      <c r="HM9" t="e">
        <f>AND(OUTPUT!E134,"AAAAAB23r9w=")</f>
        <v>#VALUE!</v>
      </c>
      <c r="HN9" t="e">
        <f>AND(OUTPUT!F134,"AAAAAB23r90=")</f>
        <v>#VALUE!</v>
      </c>
      <c r="HO9" t="e">
        <f>AND(OUTPUT!G134,"AAAAAB23r94=")</f>
        <v>#VALUE!</v>
      </c>
      <c r="HP9" t="e">
        <f>AND(OUTPUT!I131,"AAAAAB23r98=")</f>
        <v>#VALUE!</v>
      </c>
      <c r="HQ9" t="e">
        <f>AND(OUTPUT!#REF!,"AAAAAB23r+A=")</f>
        <v>#REF!</v>
      </c>
      <c r="HR9" t="e">
        <f>AND(OUTPUT!#REF!,"AAAAAB23r+E=")</f>
        <v>#REF!</v>
      </c>
      <c r="HS9" t="e">
        <f>AND(OUTPUT!#REF!,"AAAAAB23r+I=")</f>
        <v>#REF!</v>
      </c>
      <c r="HT9" t="e">
        <f>AND(OUTPUT!#REF!,"AAAAAB23r+M=")</f>
        <v>#REF!</v>
      </c>
      <c r="HU9" t="e">
        <f>AND(OUTPUT!#REF!,"AAAAAB23r+Q=")</f>
        <v>#REF!</v>
      </c>
      <c r="HV9" t="e">
        <f>AND(OUTPUT!#REF!,"AAAAAB23r+U=")</f>
        <v>#REF!</v>
      </c>
      <c r="HW9" t="e">
        <f>AND(OUTPUT!#REF!,"AAAAAB23r+Y=")</f>
        <v>#REF!</v>
      </c>
      <c r="HX9">
        <f>IF(OUTPUT!132:132,"AAAAAB23r+c=",0)</f>
        <v>0</v>
      </c>
      <c r="HY9" t="e">
        <f>AND(OUTPUT!C145,"AAAAAB23r+g=")</f>
        <v>#VALUE!</v>
      </c>
      <c r="HZ9" t="e">
        <f>AND(OUTPUT!D135,"AAAAAB23r+k=")</f>
        <v>#VALUE!</v>
      </c>
      <c r="IA9" t="e">
        <f>AND(OUTPUT!E135,"AAAAAB23r+o=")</f>
        <v>#VALUE!</v>
      </c>
      <c r="IB9" t="e">
        <f>AND(OUTPUT!F135,"AAAAAB23r+s=")</f>
        <v>#VALUE!</v>
      </c>
      <c r="IC9" t="e">
        <f>AND(OUTPUT!G135,"AAAAAB23r+w=")</f>
        <v>#VALUE!</v>
      </c>
      <c r="ID9" t="e">
        <f>AND(OUTPUT!I132,"AAAAAB23r+0=")</f>
        <v>#VALUE!</v>
      </c>
      <c r="IE9" t="e">
        <f>AND(OUTPUT!#REF!,"AAAAAB23r+4=")</f>
        <v>#REF!</v>
      </c>
      <c r="IF9" t="e">
        <f>AND(OUTPUT!#REF!,"AAAAAB23r+8=")</f>
        <v>#REF!</v>
      </c>
      <c r="IG9" t="e">
        <f>AND(OUTPUT!#REF!,"AAAAAB23r/A=")</f>
        <v>#REF!</v>
      </c>
      <c r="IH9" t="e">
        <f>AND(OUTPUT!#REF!,"AAAAAB23r/E=")</f>
        <v>#REF!</v>
      </c>
      <c r="II9" t="e">
        <f>AND(OUTPUT!#REF!,"AAAAAB23r/I=")</f>
        <v>#REF!</v>
      </c>
      <c r="IJ9" t="e">
        <f>AND(OUTPUT!#REF!,"AAAAAB23r/M=")</f>
        <v>#REF!</v>
      </c>
      <c r="IK9" t="e">
        <f>AND(OUTPUT!#REF!,"AAAAAB23r/Q=")</f>
        <v>#REF!</v>
      </c>
      <c r="IL9">
        <f>IF(OUTPUT!133:133,"AAAAAB23r/U=",0)</f>
        <v>0</v>
      </c>
      <c r="IM9" t="e">
        <f>AND(OUTPUT!#REF!,"AAAAAB23r/Y=")</f>
        <v>#REF!</v>
      </c>
      <c r="IN9" t="e">
        <f>AND(OUTPUT!D136,"AAAAAB23r/c=")</f>
        <v>#VALUE!</v>
      </c>
      <c r="IO9" t="e">
        <f>AND(OUTPUT!E136,"AAAAAB23r/g=")</f>
        <v>#VALUE!</v>
      </c>
      <c r="IP9" t="e">
        <f>AND(OUTPUT!F136,"AAAAAB23r/k=")</f>
        <v>#VALUE!</v>
      </c>
      <c r="IQ9" t="e">
        <f>AND(OUTPUT!G136,"AAAAAB23r/o=")</f>
        <v>#VALUE!</v>
      </c>
      <c r="IR9" t="e">
        <f>AND(OUTPUT!I133,"AAAAAB23r/s=")</f>
        <v>#VALUE!</v>
      </c>
      <c r="IS9" t="e">
        <f>AND(OUTPUT!#REF!,"AAAAAB23r/w=")</f>
        <v>#REF!</v>
      </c>
      <c r="IT9" t="e">
        <f>AND(OUTPUT!#REF!,"AAAAAB23r/0=")</f>
        <v>#REF!</v>
      </c>
      <c r="IU9" t="e">
        <f>AND(OUTPUT!#REF!,"AAAAAB23r/4=")</f>
        <v>#REF!</v>
      </c>
      <c r="IV9" t="e">
        <f>AND(OUTPUT!#REF!,"AAAAAB23r/8=")</f>
        <v>#REF!</v>
      </c>
    </row>
    <row r="10" spans="1:256" x14ac:dyDescent="0.2">
      <c r="A10" t="e">
        <f>AND(OUTPUT!#REF!,"AAAAAG67+wA=")</f>
        <v>#REF!</v>
      </c>
      <c r="B10" t="e">
        <f>AND(OUTPUT!#REF!,"AAAAAG67+wE=")</f>
        <v>#REF!</v>
      </c>
      <c r="C10" t="e">
        <f>AND(OUTPUT!#REF!,"AAAAAG67+wI=")</f>
        <v>#REF!</v>
      </c>
      <c r="D10">
        <f>IF(OUTPUT!134:134,"AAAAAG67+wM=",0)</f>
        <v>0</v>
      </c>
      <c r="E10" t="e">
        <f>AND(OUTPUT!#REF!,"AAAAAG67+wQ=")</f>
        <v>#REF!</v>
      </c>
      <c r="F10" t="e">
        <f>AND(OUTPUT!D137,"AAAAAG67+wU=")</f>
        <v>#VALUE!</v>
      </c>
      <c r="G10" t="e">
        <f>AND(OUTPUT!E137,"AAAAAG67+wY=")</f>
        <v>#VALUE!</v>
      </c>
      <c r="H10" t="e">
        <f>AND(OUTPUT!F137,"AAAAAG67+wc=")</f>
        <v>#VALUE!</v>
      </c>
      <c r="I10" t="e">
        <f>AND(OUTPUT!G137,"AAAAAG67+wg=")</f>
        <v>#VALUE!</v>
      </c>
      <c r="J10" t="e">
        <f>AND(OUTPUT!I134,"AAAAAG67+wk=")</f>
        <v>#VALUE!</v>
      </c>
      <c r="K10" t="e">
        <f>AND(OUTPUT!#REF!,"AAAAAG67+wo=")</f>
        <v>#REF!</v>
      </c>
      <c r="L10" t="e">
        <f>AND(OUTPUT!#REF!,"AAAAAG67+ws=")</f>
        <v>#REF!</v>
      </c>
      <c r="M10" t="e">
        <f>AND(OUTPUT!#REF!,"AAAAAG67+ww=")</f>
        <v>#REF!</v>
      </c>
      <c r="N10" t="e">
        <f>AND(OUTPUT!#REF!,"AAAAAG67+w0=")</f>
        <v>#REF!</v>
      </c>
      <c r="O10" t="e">
        <f>AND(OUTPUT!#REF!,"AAAAAG67+w4=")</f>
        <v>#REF!</v>
      </c>
      <c r="P10" t="e">
        <f>AND(OUTPUT!#REF!,"AAAAAG67+w8=")</f>
        <v>#REF!</v>
      </c>
      <c r="Q10" t="e">
        <f>AND(OUTPUT!#REF!,"AAAAAG67+xA=")</f>
        <v>#REF!</v>
      </c>
      <c r="R10">
        <f>IF(OUTPUT!135:135,"AAAAAG67+xE=",0)</f>
        <v>0</v>
      </c>
      <c r="S10" t="e">
        <f>AND(OUTPUT!#REF!,"AAAAAG67+xI=")</f>
        <v>#REF!</v>
      </c>
      <c r="T10" t="e">
        <f>AND(OUTPUT!#REF!,"AAAAAG67+xM=")</f>
        <v>#REF!</v>
      </c>
      <c r="U10" t="e">
        <f>AND(OUTPUT!E138,"AAAAAG67+xQ=")</f>
        <v>#VALUE!</v>
      </c>
      <c r="V10" t="e">
        <f>AND(OUTPUT!F138,"AAAAAG67+xU=")</f>
        <v>#VALUE!</v>
      </c>
      <c r="W10" t="e">
        <f>AND(OUTPUT!G138,"AAAAAG67+xY=")</f>
        <v>#VALUE!</v>
      </c>
      <c r="X10" t="e">
        <f>AND(OUTPUT!I135,"AAAAAG67+xc=")</f>
        <v>#VALUE!</v>
      </c>
      <c r="Y10" t="e">
        <f>AND(OUTPUT!#REF!,"AAAAAG67+xg=")</f>
        <v>#REF!</v>
      </c>
      <c r="Z10" t="e">
        <f>AND(OUTPUT!#REF!,"AAAAAG67+xk=")</f>
        <v>#REF!</v>
      </c>
      <c r="AA10" t="e">
        <f>AND(OUTPUT!#REF!,"AAAAAG67+xo=")</f>
        <v>#REF!</v>
      </c>
      <c r="AB10" t="e">
        <f>AND(OUTPUT!#REF!,"AAAAAG67+xs=")</f>
        <v>#REF!</v>
      </c>
      <c r="AC10" t="e">
        <f>AND(OUTPUT!#REF!,"AAAAAG67+xw=")</f>
        <v>#REF!</v>
      </c>
      <c r="AD10" t="e">
        <f>AND(OUTPUT!#REF!,"AAAAAG67+x0=")</f>
        <v>#REF!</v>
      </c>
      <c r="AE10" t="e">
        <f>AND(OUTPUT!#REF!,"AAAAAG67+x4=")</f>
        <v>#REF!</v>
      </c>
      <c r="AF10">
        <f>IF(OUTPUT!136:136,"AAAAAG67+x8=",0)</f>
        <v>0</v>
      </c>
      <c r="AG10" t="e">
        <f>AND(OUTPUT!#REF!,"AAAAAG67+yA=")</f>
        <v>#REF!</v>
      </c>
      <c r="AH10" t="e">
        <f>AND(OUTPUT!D139,"AAAAAG67+yE=")</f>
        <v>#VALUE!</v>
      </c>
      <c r="AI10" t="e">
        <f>AND(OUTPUT!E139,"AAAAAG67+yI=")</f>
        <v>#VALUE!</v>
      </c>
      <c r="AJ10" t="e">
        <f>AND(OUTPUT!F139,"AAAAAG67+yM=")</f>
        <v>#VALUE!</v>
      </c>
      <c r="AK10" t="e">
        <f>AND(OUTPUT!G139,"AAAAAG67+yQ=")</f>
        <v>#VALUE!</v>
      </c>
      <c r="AL10" t="e">
        <f>AND(OUTPUT!I136,"AAAAAG67+yU=")</f>
        <v>#VALUE!</v>
      </c>
      <c r="AM10" t="e">
        <f>AND(OUTPUT!#REF!,"AAAAAG67+yY=")</f>
        <v>#REF!</v>
      </c>
      <c r="AN10" t="e">
        <f>AND(OUTPUT!#REF!,"AAAAAG67+yc=")</f>
        <v>#REF!</v>
      </c>
      <c r="AO10" t="e">
        <f>AND(OUTPUT!#REF!,"AAAAAG67+yg=")</f>
        <v>#REF!</v>
      </c>
      <c r="AP10" t="e">
        <f>AND(OUTPUT!#REF!,"AAAAAG67+yk=")</f>
        <v>#REF!</v>
      </c>
      <c r="AQ10" t="e">
        <f>AND(OUTPUT!#REF!,"AAAAAG67+yo=")</f>
        <v>#REF!</v>
      </c>
      <c r="AR10" t="e">
        <f>AND(OUTPUT!#REF!,"AAAAAG67+ys=")</f>
        <v>#REF!</v>
      </c>
      <c r="AS10" t="e">
        <f>AND(OUTPUT!#REF!,"AAAAAG67+yw=")</f>
        <v>#REF!</v>
      </c>
      <c r="AT10">
        <f>IF(OUTPUT!137:137,"AAAAAG67+y0=",0)</f>
        <v>0</v>
      </c>
      <c r="AU10" t="e">
        <f>AND(OUTPUT!#REF!,"AAAAAG67+y4=")</f>
        <v>#REF!</v>
      </c>
      <c r="AV10" t="e">
        <f>AND(OUTPUT!D140,"AAAAAG67+y8=")</f>
        <v>#VALUE!</v>
      </c>
      <c r="AW10" t="e">
        <f>AND(OUTPUT!E140,"AAAAAG67+zA=")</f>
        <v>#VALUE!</v>
      </c>
      <c r="AX10" t="e">
        <f>AND(OUTPUT!F140,"AAAAAG67+zE=")</f>
        <v>#VALUE!</v>
      </c>
      <c r="AY10" t="e">
        <f>AND(OUTPUT!G140,"AAAAAG67+zI=")</f>
        <v>#VALUE!</v>
      </c>
      <c r="AZ10" t="e">
        <f>AND(OUTPUT!I137,"AAAAAG67+zM=")</f>
        <v>#VALUE!</v>
      </c>
      <c r="BA10" t="e">
        <f>AND(OUTPUT!#REF!,"AAAAAG67+zQ=")</f>
        <v>#REF!</v>
      </c>
      <c r="BB10" t="e">
        <f>AND(OUTPUT!#REF!,"AAAAAG67+zU=")</f>
        <v>#REF!</v>
      </c>
      <c r="BC10" t="e">
        <f>AND(OUTPUT!#REF!,"AAAAAG67+zY=")</f>
        <v>#REF!</v>
      </c>
      <c r="BD10" t="e">
        <f>AND(OUTPUT!#REF!,"AAAAAG67+zc=")</f>
        <v>#REF!</v>
      </c>
      <c r="BE10" t="e">
        <f>AND(OUTPUT!#REF!,"AAAAAG67+zg=")</f>
        <v>#REF!</v>
      </c>
      <c r="BF10" t="e">
        <f>AND(OUTPUT!#REF!,"AAAAAG67+zk=")</f>
        <v>#REF!</v>
      </c>
      <c r="BG10" t="e">
        <f>AND(OUTPUT!#REF!,"AAAAAG67+zo=")</f>
        <v>#REF!</v>
      </c>
      <c r="BH10">
        <f>IF(OUTPUT!138:138,"AAAAAG67+zs=",0)</f>
        <v>0</v>
      </c>
      <c r="BI10" t="e">
        <f>AND(OUTPUT!#REF!,"AAAAAG67+zw=")</f>
        <v>#REF!</v>
      </c>
      <c r="BJ10" t="e">
        <f>AND(OUTPUT!D141,"AAAAAG67+z0=")</f>
        <v>#VALUE!</v>
      </c>
      <c r="BK10" t="e">
        <f>AND(OUTPUT!E141,"AAAAAG67+z4=")</f>
        <v>#VALUE!</v>
      </c>
      <c r="BL10" t="e">
        <f>AND(OUTPUT!F141,"AAAAAG67+z8=")</f>
        <v>#VALUE!</v>
      </c>
      <c r="BM10" t="e">
        <f>AND(OUTPUT!G141,"AAAAAG67+0A=")</f>
        <v>#VALUE!</v>
      </c>
      <c r="BN10" t="e">
        <f>AND(OUTPUT!I138,"AAAAAG67+0E=")</f>
        <v>#VALUE!</v>
      </c>
      <c r="BO10" t="e">
        <f>AND(OUTPUT!#REF!,"AAAAAG67+0I=")</f>
        <v>#REF!</v>
      </c>
      <c r="BP10" t="e">
        <f>AND(OUTPUT!#REF!,"AAAAAG67+0M=")</f>
        <v>#REF!</v>
      </c>
      <c r="BQ10" t="e">
        <f>AND(OUTPUT!#REF!,"AAAAAG67+0Q=")</f>
        <v>#REF!</v>
      </c>
      <c r="BR10" t="e">
        <f>AND(OUTPUT!#REF!,"AAAAAG67+0U=")</f>
        <v>#REF!</v>
      </c>
      <c r="BS10" t="e">
        <f>AND(OUTPUT!#REF!,"AAAAAG67+0Y=")</f>
        <v>#REF!</v>
      </c>
      <c r="BT10" t="e">
        <f>AND(OUTPUT!#REF!,"AAAAAG67+0c=")</f>
        <v>#REF!</v>
      </c>
      <c r="BU10" t="e">
        <f>AND(OUTPUT!#REF!,"AAAAAG67+0g=")</f>
        <v>#REF!</v>
      </c>
      <c r="BV10">
        <f>IF(OUTPUT!139:139,"AAAAAG67+0k=",0)</f>
        <v>0</v>
      </c>
      <c r="BW10" t="e">
        <f>AND(OUTPUT!#REF!,"AAAAAG67+0o=")</f>
        <v>#REF!</v>
      </c>
      <c r="BX10" t="e">
        <f>AND(OUTPUT!#REF!,"AAAAAG67+0s=")</f>
        <v>#REF!</v>
      </c>
      <c r="BY10" t="e">
        <f>AND(OUTPUT!E142,"AAAAAG67+0w=")</f>
        <v>#VALUE!</v>
      </c>
      <c r="BZ10" t="e">
        <f>AND(OUTPUT!F142,"AAAAAG67+00=")</f>
        <v>#VALUE!</v>
      </c>
      <c r="CA10" t="e">
        <f>AND(OUTPUT!G142,"AAAAAG67+04=")</f>
        <v>#VALUE!</v>
      </c>
      <c r="CB10" t="e">
        <f>AND(OUTPUT!I139,"AAAAAG67+08=")</f>
        <v>#VALUE!</v>
      </c>
      <c r="CC10" t="e">
        <f>AND(OUTPUT!#REF!,"AAAAAG67+1A=")</f>
        <v>#REF!</v>
      </c>
      <c r="CD10" t="e">
        <f>AND(OUTPUT!#REF!,"AAAAAG67+1E=")</f>
        <v>#REF!</v>
      </c>
      <c r="CE10" t="e">
        <f>AND(OUTPUT!#REF!,"AAAAAG67+1I=")</f>
        <v>#REF!</v>
      </c>
      <c r="CF10" t="e">
        <f>AND(OUTPUT!#REF!,"AAAAAG67+1M=")</f>
        <v>#REF!</v>
      </c>
      <c r="CG10" t="e">
        <f>AND(OUTPUT!#REF!,"AAAAAG67+1Q=")</f>
        <v>#REF!</v>
      </c>
      <c r="CH10" t="e">
        <f>AND(OUTPUT!#REF!,"AAAAAG67+1U=")</f>
        <v>#REF!</v>
      </c>
      <c r="CI10" t="e">
        <f>AND(OUTPUT!#REF!,"AAAAAG67+1Y=")</f>
        <v>#REF!</v>
      </c>
      <c r="CJ10">
        <f>IF(OUTPUT!140:140,"AAAAAG67+1c=",0)</f>
        <v>0</v>
      </c>
      <c r="CK10" t="e">
        <f>AND(OUTPUT!#REF!,"AAAAAG67+1g=")</f>
        <v>#REF!</v>
      </c>
      <c r="CL10" t="e">
        <f>AND(OUTPUT!D142,"AAAAAG67+1k=")</f>
        <v>#VALUE!</v>
      </c>
      <c r="CM10" t="e">
        <f>AND(OUTPUT!E143,"AAAAAG67+1o=")</f>
        <v>#VALUE!</v>
      </c>
      <c r="CN10" t="e">
        <f>AND(OUTPUT!F143,"AAAAAG67+1s=")</f>
        <v>#VALUE!</v>
      </c>
      <c r="CO10" t="e">
        <f>AND(OUTPUT!G143,"AAAAAG67+1w=")</f>
        <v>#VALUE!</v>
      </c>
      <c r="CP10" t="e">
        <f>AND(OUTPUT!I140,"AAAAAG67+10=")</f>
        <v>#VALUE!</v>
      </c>
      <c r="CQ10" t="e">
        <f>AND(OUTPUT!#REF!,"AAAAAG67+14=")</f>
        <v>#REF!</v>
      </c>
      <c r="CR10" t="e">
        <f>AND(OUTPUT!#REF!,"AAAAAG67+18=")</f>
        <v>#REF!</v>
      </c>
      <c r="CS10" t="e">
        <f>AND(OUTPUT!#REF!,"AAAAAG67+2A=")</f>
        <v>#REF!</v>
      </c>
      <c r="CT10" t="e">
        <f>AND(OUTPUT!#REF!,"AAAAAG67+2E=")</f>
        <v>#REF!</v>
      </c>
      <c r="CU10" t="e">
        <f>AND(OUTPUT!#REF!,"AAAAAG67+2I=")</f>
        <v>#REF!</v>
      </c>
      <c r="CV10" t="e">
        <f>AND(OUTPUT!#REF!,"AAAAAG67+2M=")</f>
        <v>#REF!</v>
      </c>
      <c r="CW10" t="e">
        <f>AND(OUTPUT!#REF!,"AAAAAG67+2Q=")</f>
        <v>#REF!</v>
      </c>
      <c r="CX10">
        <f>IF(OUTPUT!141:141,"AAAAAG67+2U=",0)</f>
        <v>0</v>
      </c>
      <c r="CY10" t="e">
        <f>AND(OUTPUT!#REF!,"AAAAAG67+2Y=")</f>
        <v>#REF!</v>
      </c>
      <c r="CZ10" t="e">
        <f>AND(OUTPUT!D143,"AAAAAG67+2c=")</f>
        <v>#VALUE!</v>
      </c>
      <c r="DA10" t="e">
        <f>AND(OUTPUT!E144,"AAAAAG67+2g=")</f>
        <v>#VALUE!</v>
      </c>
      <c r="DB10" t="e">
        <f>AND(OUTPUT!F144,"AAAAAG67+2k=")</f>
        <v>#VALUE!</v>
      </c>
      <c r="DC10" t="e">
        <f>AND(OUTPUT!G144,"AAAAAG67+2o=")</f>
        <v>#VALUE!</v>
      </c>
      <c r="DD10" t="e">
        <f>AND(OUTPUT!I141,"AAAAAG67+2s=")</f>
        <v>#VALUE!</v>
      </c>
      <c r="DE10" t="e">
        <f>AND(OUTPUT!#REF!,"AAAAAG67+2w=")</f>
        <v>#REF!</v>
      </c>
      <c r="DF10" t="e">
        <f>AND(OUTPUT!#REF!,"AAAAAG67+20=")</f>
        <v>#REF!</v>
      </c>
      <c r="DG10" t="e">
        <f>AND(OUTPUT!#REF!,"AAAAAG67+24=")</f>
        <v>#REF!</v>
      </c>
      <c r="DH10" t="e">
        <f>AND(OUTPUT!#REF!,"AAAAAG67+28=")</f>
        <v>#REF!</v>
      </c>
      <c r="DI10" t="e">
        <f>AND(OUTPUT!#REF!,"AAAAAG67+3A=")</f>
        <v>#REF!</v>
      </c>
      <c r="DJ10" t="e">
        <f>AND(OUTPUT!#REF!,"AAAAAG67+3E=")</f>
        <v>#REF!</v>
      </c>
      <c r="DK10" t="e">
        <f>AND(OUTPUT!#REF!,"AAAAAG67+3I=")</f>
        <v>#REF!</v>
      </c>
      <c r="DL10">
        <f>IF(OUTPUT!142:142,"AAAAAG67+3M=",0)</f>
        <v>0</v>
      </c>
      <c r="DM10" t="e">
        <f>AND(OUTPUT!#REF!,"AAAAAG67+3Q=")</f>
        <v>#REF!</v>
      </c>
      <c r="DN10" t="e">
        <f>AND(OUTPUT!D144,"AAAAAG67+3U=")</f>
        <v>#VALUE!</v>
      </c>
      <c r="DO10" t="e">
        <f>AND(OUTPUT!E145,"AAAAAG67+3Y=")</f>
        <v>#VALUE!</v>
      </c>
      <c r="DP10" t="e">
        <f>AND(OUTPUT!F145,"AAAAAG67+3c=")</f>
        <v>#VALUE!</v>
      </c>
      <c r="DQ10" t="e">
        <f>AND(OUTPUT!G145,"AAAAAG67+3g=")</f>
        <v>#VALUE!</v>
      </c>
      <c r="DR10" t="e">
        <f>AND(OUTPUT!I142,"AAAAAG67+3k=")</f>
        <v>#VALUE!</v>
      </c>
      <c r="DS10" t="e">
        <f>AND(OUTPUT!#REF!,"AAAAAG67+3o=")</f>
        <v>#REF!</v>
      </c>
      <c r="DT10" t="e">
        <f>AND(OUTPUT!#REF!,"AAAAAG67+3s=")</f>
        <v>#REF!</v>
      </c>
      <c r="DU10" t="e">
        <f>AND(OUTPUT!#REF!,"AAAAAG67+3w=")</f>
        <v>#REF!</v>
      </c>
      <c r="DV10" t="e">
        <f>AND(OUTPUT!#REF!,"AAAAAG67+30=")</f>
        <v>#REF!</v>
      </c>
      <c r="DW10" t="e">
        <f>AND(OUTPUT!#REF!,"AAAAAG67+34=")</f>
        <v>#REF!</v>
      </c>
      <c r="DX10" t="e">
        <f>AND(OUTPUT!#REF!,"AAAAAG67+38=")</f>
        <v>#REF!</v>
      </c>
      <c r="DY10" t="e">
        <f>AND(OUTPUT!#REF!,"AAAAAG67+4A=")</f>
        <v>#REF!</v>
      </c>
      <c r="DZ10">
        <f>IF(OUTPUT!144:144,"AAAAAG67+4E=",0)</f>
        <v>0</v>
      </c>
      <c r="EA10" t="e">
        <f>AND(OUTPUT!C147,"AAAAAG67+4I=")</f>
        <v>#VALUE!</v>
      </c>
      <c r="EB10" t="e">
        <f>AND(OUTPUT!D145,"AAAAAG67+4M=")</f>
        <v>#VALUE!</v>
      </c>
      <c r="EC10" t="e">
        <f>AND(OUTPUT!E147,"AAAAAG67+4Q=")</f>
        <v>#VALUE!</v>
      </c>
      <c r="ED10" t="e">
        <f>AND(OUTPUT!F147,"AAAAAG67+4U=")</f>
        <v>#VALUE!</v>
      </c>
      <c r="EE10" t="e">
        <f>AND(OUTPUT!G147,"AAAAAG67+4Y=")</f>
        <v>#VALUE!</v>
      </c>
      <c r="EF10" t="e">
        <f>AND(OUTPUT!I144,"AAAAAG67+4c=")</f>
        <v>#VALUE!</v>
      </c>
      <c r="EG10" t="e">
        <f>AND(OUTPUT!#REF!,"AAAAAG67+4g=")</f>
        <v>#REF!</v>
      </c>
      <c r="EH10" t="e">
        <f>AND(OUTPUT!#REF!,"AAAAAG67+4k=")</f>
        <v>#REF!</v>
      </c>
      <c r="EI10" t="e">
        <f>AND(OUTPUT!#REF!,"AAAAAG67+4o=")</f>
        <v>#REF!</v>
      </c>
      <c r="EJ10" t="e">
        <f>AND(OUTPUT!#REF!,"AAAAAG67+4s=")</f>
        <v>#REF!</v>
      </c>
      <c r="EK10" t="e">
        <f>AND(OUTPUT!#REF!,"AAAAAG67+4w=")</f>
        <v>#REF!</v>
      </c>
      <c r="EL10" t="e">
        <f>AND(OUTPUT!#REF!,"AAAAAG67+40=")</f>
        <v>#REF!</v>
      </c>
      <c r="EM10" t="e">
        <f>AND(OUTPUT!#REF!,"AAAAAG67+44=")</f>
        <v>#REF!</v>
      </c>
      <c r="EN10">
        <f>IF(OUTPUT!145:145,"AAAAAG67+48=",0)</f>
        <v>0</v>
      </c>
      <c r="EO10" t="e">
        <f>AND(OUTPUT!#REF!,"AAAAAG67+5A=")</f>
        <v>#REF!</v>
      </c>
      <c r="EP10" t="e">
        <f>AND(OUTPUT!D147,"AAAAAG67+5E=")</f>
        <v>#VALUE!</v>
      </c>
      <c r="EQ10" t="e">
        <f>AND(OUTPUT!#REF!,"AAAAAG67+5I=")</f>
        <v>#REF!</v>
      </c>
      <c r="ER10" t="e">
        <f>AND(OUTPUT!#REF!,"AAAAAG67+5M=")</f>
        <v>#REF!</v>
      </c>
      <c r="ES10" t="e">
        <f>AND(OUTPUT!#REF!,"AAAAAG67+5Q=")</f>
        <v>#REF!</v>
      </c>
      <c r="ET10" t="e">
        <f>AND(OUTPUT!I145,"AAAAAG67+5U=")</f>
        <v>#VALUE!</v>
      </c>
      <c r="EU10" t="e">
        <f>AND(OUTPUT!#REF!,"AAAAAG67+5Y=")</f>
        <v>#REF!</v>
      </c>
      <c r="EV10" t="e">
        <f>AND(OUTPUT!#REF!,"AAAAAG67+5c=")</f>
        <v>#REF!</v>
      </c>
      <c r="EW10" t="e">
        <f>AND(OUTPUT!#REF!,"AAAAAG67+5g=")</f>
        <v>#REF!</v>
      </c>
      <c r="EX10" t="e">
        <f>AND(OUTPUT!#REF!,"AAAAAG67+5k=")</f>
        <v>#REF!</v>
      </c>
      <c r="EY10" t="e">
        <f>AND(OUTPUT!#REF!,"AAAAAG67+5o=")</f>
        <v>#REF!</v>
      </c>
      <c r="EZ10" t="e">
        <f>AND(OUTPUT!#REF!,"AAAAAG67+5s=")</f>
        <v>#REF!</v>
      </c>
      <c r="FA10" t="e">
        <f>AND(OUTPUT!#REF!,"AAAAAG67+5w=")</f>
        <v>#REF!</v>
      </c>
      <c r="FB10" t="e">
        <f>IF(OUTPUT!#REF!,"AAAAAG67+50=",0)</f>
        <v>#REF!</v>
      </c>
      <c r="FC10" t="e">
        <f>AND(OUTPUT!C148,"AAAAAG67+54=")</f>
        <v>#VALUE!</v>
      </c>
      <c r="FD10" t="e">
        <f>AND(OUTPUT!#REF!,"AAAAAG67+58=")</f>
        <v>#REF!</v>
      </c>
      <c r="FE10" t="e">
        <f>AND(OUTPUT!E148,"AAAAAG67+6A=")</f>
        <v>#VALUE!</v>
      </c>
      <c r="FF10" t="e">
        <f>AND(OUTPUT!F148,"AAAAAG67+6E=")</f>
        <v>#VALUE!</v>
      </c>
      <c r="FG10" t="e">
        <f>AND(OUTPUT!G148,"AAAAAG67+6I=")</f>
        <v>#VALUE!</v>
      </c>
      <c r="FH10" t="e">
        <f>AND(OUTPUT!#REF!,"AAAAAG67+6M=")</f>
        <v>#REF!</v>
      </c>
      <c r="FI10" t="e">
        <f>AND(OUTPUT!#REF!,"AAAAAG67+6Q=")</f>
        <v>#REF!</v>
      </c>
      <c r="FJ10" t="e">
        <f>AND(OUTPUT!#REF!,"AAAAAG67+6U=")</f>
        <v>#REF!</v>
      </c>
      <c r="FK10" t="e">
        <f>AND(OUTPUT!#REF!,"AAAAAG67+6Y=")</f>
        <v>#REF!</v>
      </c>
      <c r="FL10" t="e">
        <f>AND(OUTPUT!#REF!,"AAAAAG67+6c=")</f>
        <v>#REF!</v>
      </c>
      <c r="FM10" t="e">
        <f>AND(OUTPUT!#REF!,"AAAAAG67+6g=")</f>
        <v>#REF!</v>
      </c>
      <c r="FN10" t="e">
        <f>AND(OUTPUT!#REF!,"AAAAAG67+6k=")</f>
        <v>#REF!</v>
      </c>
      <c r="FO10" t="e">
        <f>AND(OUTPUT!#REF!,"AAAAAG67+6o=")</f>
        <v>#REF!</v>
      </c>
      <c r="FP10">
        <f>IF(OUTPUT!146:146,"AAAAAG67+6s=",0)</f>
        <v>0</v>
      </c>
      <c r="FQ10" t="e">
        <f>AND(OUTPUT!C149,"AAAAAG67+6w=")</f>
        <v>#VALUE!</v>
      </c>
      <c r="FR10" t="e">
        <f>AND(OUTPUT!D148,"AAAAAG67+60=")</f>
        <v>#VALUE!</v>
      </c>
      <c r="FS10" t="e">
        <f>AND(OUTPUT!E149,"AAAAAG67+64=")</f>
        <v>#VALUE!</v>
      </c>
      <c r="FT10" t="e">
        <f>AND(OUTPUT!F149,"AAAAAG67+68=")</f>
        <v>#VALUE!</v>
      </c>
      <c r="FU10" t="e">
        <f>AND(OUTPUT!G149,"AAAAAG67+7A=")</f>
        <v>#VALUE!</v>
      </c>
      <c r="FV10" t="e">
        <f>AND(OUTPUT!I146,"AAAAAG67+7E=")</f>
        <v>#VALUE!</v>
      </c>
      <c r="FW10" t="e">
        <f>AND(OUTPUT!#REF!,"AAAAAG67+7I=")</f>
        <v>#REF!</v>
      </c>
      <c r="FX10" t="e">
        <f>AND(OUTPUT!#REF!,"AAAAAG67+7M=")</f>
        <v>#REF!</v>
      </c>
      <c r="FY10" t="e">
        <f>AND(OUTPUT!#REF!,"AAAAAG67+7Q=")</f>
        <v>#REF!</v>
      </c>
      <c r="FZ10" t="e">
        <f>AND(OUTPUT!#REF!,"AAAAAG67+7U=")</f>
        <v>#REF!</v>
      </c>
      <c r="GA10" t="e">
        <f>AND(OUTPUT!#REF!,"AAAAAG67+7Y=")</f>
        <v>#REF!</v>
      </c>
      <c r="GB10" t="e">
        <f>AND(OUTPUT!#REF!,"AAAAAG67+7c=")</f>
        <v>#REF!</v>
      </c>
      <c r="GC10" t="e">
        <f>AND(OUTPUT!#REF!,"AAAAAG67+7g=")</f>
        <v>#REF!</v>
      </c>
      <c r="GD10">
        <f>IF(OUTPUT!147:147,"AAAAAG67+7k=",0)</f>
        <v>0</v>
      </c>
      <c r="GE10" t="e">
        <f>AND(OUTPUT!C150,"AAAAAG67+7o=")</f>
        <v>#VALUE!</v>
      </c>
      <c r="GF10" t="e">
        <f>AND(OUTPUT!D149,"AAAAAG67+7s=")</f>
        <v>#VALUE!</v>
      </c>
      <c r="GG10" t="e">
        <f>AND(OUTPUT!E150,"AAAAAG67+7w=")</f>
        <v>#VALUE!</v>
      </c>
      <c r="GH10" t="e">
        <f>AND(OUTPUT!F150,"AAAAAG67+70=")</f>
        <v>#VALUE!</v>
      </c>
      <c r="GI10" t="e">
        <f>AND(OUTPUT!G150,"AAAAAG67+74=")</f>
        <v>#VALUE!</v>
      </c>
      <c r="GJ10" t="e">
        <f>AND(OUTPUT!I147,"AAAAAG67+78=")</f>
        <v>#VALUE!</v>
      </c>
      <c r="GK10" t="e">
        <f>AND(OUTPUT!#REF!,"AAAAAG67+8A=")</f>
        <v>#REF!</v>
      </c>
      <c r="GL10" t="e">
        <f>AND(OUTPUT!#REF!,"AAAAAG67+8E=")</f>
        <v>#REF!</v>
      </c>
      <c r="GM10" t="e">
        <f>AND(OUTPUT!#REF!,"AAAAAG67+8I=")</f>
        <v>#REF!</v>
      </c>
      <c r="GN10" t="e">
        <f>AND(OUTPUT!#REF!,"AAAAAG67+8M=")</f>
        <v>#REF!</v>
      </c>
      <c r="GO10" t="e">
        <f>AND(OUTPUT!#REF!,"AAAAAG67+8Q=")</f>
        <v>#REF!</v>
      </c>
      <c r="GP10" t="e">
        <f>AND(OUTPUT!#REF!,"AAAAAG67+8U=")</f>
        <v>#REF!</v>
      </c>
      <c r="GQ10" t="e">
        <f>AND(OUTPUT!#REF!,"AAAAAG67+8Y=")</f>
        <v>#REF!</v>
      </c>
      <c r="GR10">
        <f>IF(OUTPUT!148:148,"AAAAAG67+8c=",0)</f>
        <v>0</v>
      </c>
      <c r="GS10" t="e">
        <f>AND(OUTPUT!C151,"AAAAAG67+8g=")</f>
        <v>#VALUE!</v>
      </c>
      <c r="GT10" t="e">
        <f>AND(OUTPUT!D150,"AAAAAG67+8k=")</f>
        <v>#VALUE!</v>
      </c>
      <c r="GU10" t="e">
        <f>AND(OUTPUT!E151,"AAAAAG67+8o=")</f>
        <v>#VALUE!</v>
      </c>
      <c r="GV10" t="e">
        <f>AND(OUTPUT!F151,"AAAAAG67+8s=")</f>
        <v>#VALUE!</v>
      </c>
      <c r="GW10" t="e">
        <f>AND(OUTPUT!G151,"AAAAAG67+8w=")</f>
        <v>#VALUE!</v>
      </c>
      <c r="GX10" t="e">
        <f>AND(OUTPUT!I148,"AAAAAG67+80=")</f>
        <v>#VALUE!</v>
      </c>
      <c r="GY10" t="e">
        <f>AND(OUTPUT!#REF!,"AAAAAG67+84=")</f>
        <v>#REF!</v>
      </c>
      <c r="GZ10" t="e">
        <f>AND(OUTPUT!#REF!,"AAAAAG67+88=")</f>
        <v>#REF!</v>
      </c>
      <c r="HA10" t="e">
        <f>AND(OUTPUT!#REF!,"AAAAAG67+9A=")</f>
        <v>#REF!</v>
      </c>
      <c r="HB10" t="e">
        <f>AND(OUTPUT!#REF!,"AAAAAG67+9E=")</f>
        <v>#REF!</v>
      </c>
      <c r="HC10" t="e">
        <f>AND(OUTPUT!#REF!,"AAAAAG67+9I=")</f>
        <v>#REF!</v>
      </c>
      <c r="HD10" t="e">
        <f>AND(OUTPUT!#REF!,"AAAAAG67+9M=")</f>
        <v>#REF!</v>
      </c>
      <c r="HE10" t="e">
        <f>AND(OUTPUT!#REF!,"AAAAAG67+9Q=")</f>
        <v>#REF!</v>
      </c>
      <c r="HF10">
        <f>IF(OUTPUT!149:149,"AAAAAG67+9U=",0)</f>
        <v>0</v>
      </c>
      <c r="HG10" t="e">
        <f>AND(OUTPUT!C152,"AAAAAG67+9Y=")</f>
        <v>#VALUE!</v>
      </c>
      <c r="HH10" t="e">
        <f>AND(OUTPUT!D151,"AAAAAG67+9c=")</f>
        <v>#VALUE!</v>
      </c>
      <c r="HI10" t="e">
        <f>AND(OUTPUT!E152,"AAAAAG67+9g=")</f>
        <v>#VALUE!</v>
      </c>
      <c r="HJ10" t="e">
        <f>AND(OUTPUT!F152,"AAAAAG67+9k=")</f>
        <v>#VALUE!</v>
      </c>
      <c r="HK10" t="e">
        <f>AND(OUTPUT!G152,"AAAAAG67+9o=")</f>
        <v>#VALUE!</v>
      </c>
      <c r="HL10" t="e">
        <f>AND(OUTPUT!I149,"AAAAAG67+9s=")</f>
        <v>#VALUE!</v>
      </c>
      <c r="HM10" t="e">
        <f>AND(OUTPUT!#REF!,"AAAAAG67+9w=")</f>
        <v>#REF!</v>
      </c>
      <c r="HN10" t="e">
        <f>AND(OUTPUT!#REF!,"AAAAAG67+90=")</f>
        <v>#REF!</v>
      </c>
      <c r="HO10" t="e">
        <f>AND(OUTPUT!#REF!,"AAAAAG67+94=")</f>
        <v>#REF!</v>
      </c>
      <c r="HP10" t="e">
        <f>AND(OUTPUT!#REF!,"AAAAAG67+98=")</f>
        <v>#REF!</v>
      </c>
      <c r="HQ10" t="e">
        <f>AND(OUTPUT!#REF!,"AAAAAG67++A=")</f>
        <v>#REF!</v>
      </c>
      <c r="HR10" t="e">
        <f>AND(OUTPUT!#REF!,"AAAAAG67++E=")</f>
        <v>#REF!</v>
      </c>
      <c r="HS10" t="e">
        <f>AND(OUTPUT!#REF!,"AAAAAG67++I=")</f>
        <v>#REF!</v>
      </c>
      <c r="HT10">
        <f>IF(OUTPUT!150:150,"AAAAAG67++M=",0)</f>
        <v>0</v>
      </c>
      <c r="HU10" t="e">
        <f>AND(OUTPUT!C153,"AAAAAG67++Q=")</f>
        <v>#VALUE!</v>
      </c>
      <c r="HV10" t="e">
        <f>AND(OUTPUT!D152,"AAAAAG67++U=")</f>
        <v>#VALUE!</v>
      </c>
      <c r="HW10" t="e">
        <f>AND(OUTPUT!E153,"AAAAAG67++Y=")</f>
        <v>#VALUE!</v>
      </c>
      <c r="HX10" t="e">
        <f>AND(OUTPUT!F153,"AAAAAG67++c=")</f>
        <v>#VALUE!</v>
      </c>
      <c r="HY10" t="e">
        <f>AND(OUTPUT!G153,"AAAAAG67++g=")</f>
        <v>#VALUE!</v>
      </c>
      <c r="HZ10" t="e">
        <f>AND(OUTPUT!I150,"AAAAAG67++k=")</f>
        <v>#VALUE!</v>
      </c>
      <c r="IA10" t="e">
        <f>AND(OUTPUT!#REF!,"AAAAAG67++o=")</f>
        <v>#REF!</v>
      </c>
      <c r="IB10" t="e">
        <f>AND(OUTPUT!#REF!,"AAAAAG67++s=")</f>
        <v>#REF!</v>
      </c>
      <c r="IC10" t="e">
        <f>AND(OUTPUT!#REF!,"AAAAAG67++w=")</f>
        <v>#REF!</v>
      </c>
      <c r="ID10" t="e">
        <f>AND(OUTPUT!#REF!,"AAAAAG67++0=")</f>
        <v>#REF!</v>
      </c>
      <c r="IE10" t="e">
        <f>AND(OUTPUT!#REF!,"AAAAAG67++4=")</f>
        <v>#REF!</v>
      </c>
      <c r="IF10" t="e">
        <f>AND(OUTPUT!#REF!,"AAAAAG67++8=")</f>
        <v>#REF!</v>
      </c>
      <c r="IG10" t="e">
        <f>AND(OUTPUT!#REF!,"AAAAAG67+/A=")</f>
        <v>#REF!</v>
      </c>
      <c r="IH10">
        <f>IF(OUTPUT!151:151,"AAAAAG67+/E=",0)</f>
        <v>0</v>
      </c>
      <c r="II10" t="e">
        <f>AND(OUTPUT!C154,"AAAAAG67+/I=")</f>
        <v>#VALUE!</v>
      </c>
      <c r="IJ10" t="e">
        <f>AND(OUTPUT!D153,"AAAAAG67+/M=")</f>
        <v>#VALUE!</v>
      </c>
      <c r="IK10" t="e">
        <f>AND(OUTPUT!E154,"AAAAAG67+/Q=")</f>
        <v>#VALUE!</v>
      </c>
      <c r="IL10" t="e">
        <f>AND(OUTPUT!F154,"AAAAAG67+/U=")</f>
        <v>#VALUE!</v>
      </c>
      <c r="IM10" t="e">
        <f>AND(OUTPUT!G154,"AAAAAG67+/Y=")</f>
        <v>#VALUE!</v>
      </c>
      <c r="IN10" t="e">
        <f>AND(OUTPUT!I151,"AAAAAG67+/c=")</f>
        <v>#VALUE!</v>
      </c>
      <c r="IO10" t="e">
        <f>AND(OUTPUT!#REF!,"AAAAAG67+/g=")</f>
        <v>#REF!</v>
      </c>
      <c r="IP10" t="e">
        <f>AND(OUTPUT!#REF!,"AAAAAG67+/k=")</f>
        <v>#REF!</v>
      </c>
      <c r="IQ10" t="e">
        <f>AND(OUTPUT!#REF!,"AAAAAG67+/o=")</f>
        <v>#REF!</v>
      </c>
      <c r="IR10" t="e">
        <f>AND(OUTPUT!#REF!,"AAAAAG67+/s=")</f>
        <v>#REF!</v>
      </c>
      <c r="IS10" t="e">
        <f>AND(OUTPUT!#REF!,"AAAAAG67+/w=")</f>
        <v>#REF!</v>
      </c>
      <c r="IT10" t="e">
        <f>AND(OUTPUT!#REF!,"AAAAAG67+/0=")</f>
        <v>#REF!</v>
      </c>
      <c r="IU10" t="e">
        <f>AND(OUTPUT!#REF!,"AAAAAG67+/4=")</f>
        <v>#REF!</v>
      </c>
      <c r="IV10">
        <f>IF(OUTPUT!152:152,"AAAAAG67+/8=",0)</f>
        <v>0</v>
      </c>
    </row>
    <row r="11" spans="1:256" x14ac:dyDescent="0.2">
      <c r="A11" t="e">
        <f>AND(OUTPUT!C155,"AAAAAE8/ewA=")</f>
        <v>#VALUE!</v>
      </c>
      <c r="B11" t="e">
        <f>AND(OUTPUT!D154,"AAAAAE8/ewE=")</f>
        <v>#VALUE!</v>
      </c>
      <c r="C11" t="e">
        <f>AND(OUTPUT!E155,"AAAAAE8/ewI=")</f>
        <v>#VALUE!</v>
      </c>
      <c r="D11" t="e">
        <f>AND(OUTPUT!F155,"AAAAAE8/ewM=")</f>
        <v>#VALUE!</v>
      </c>
      <c r="E11" t="e">
        <f>AND(OUTPUT!G155,"AAAAAE8/ewQ=")</f>
        <v>#VALUE!</v>
      </c>
      <c r="F11" t="e">
        <f>AND(OUTPUT!I152,"AAAAAE8/ewU=")</f>
        <v>#VALUE!</v>
      </c>
      <c r="G11" t="e">
        <f>AND(OUTPUT!#REF!,"AAAAAE8/ewY=")</f>
        <v>#REF!</v>
      </c>
      <c r="H11" t="e">
        <f>AND(OUTPUT!#REF!,"AAAAAE8/ewc=")</f>
        <v>#REF!</v>
      </c>
      <c r="I11" t="e">
        <f>AND(OUTPUT!#REF!,"AAAAAE8/ewg=")</f>
        <v>#REF!</v>
      </c>
      <c r="J11" t="e">
        <f>AND(OUTPUT!#REF!,"AAAAAE8/ewk=")</f>
        <v>#REF!</v>
      </c>
      <c r="K11" t="e">
        <f>AND(OUTPUT!#REF!,"AAAAAE8/ewo=")</f>
        <v>#REF!</v>
      </c>
      <c r="L11" t="e">
        <f>AND(OUTPUT!#REF!,"AAAAAE8/ews=")</f>
        <v>#REF!</v>
      </c>
      <c r="M11" t="e">
        <f>AND(OUTPUT!#REF!,"AAAAAE8/eww=")</f>
        <v>#REF!</v>
      </c>
      <c r="N11">
        <f>IF(OUTPUT!153:153,"AAAAAE8/ew0=",0)</f>
        <v>0</v>
      </c>
      <c r="O11" t="e">
        <f>AND(OUTPUT!C156,"AAAAAE8/ew4=")</f>
        <v>#VALUE!</v>
      </c>
      <c r="P11" t="e">
        <f>AND(OUTPUT!D155,"AAAAAE8/ew8=")</f>
        <v>#VALUE!</v>
      </c>
      <c r="Q11" t="e">
        <f>AND(OUTPUT!E156,"AAAAAE8/exA=")</f>
        <v>#VALUE!</v>
      </c>
      <c r="R11" t="e">
        <f>AND(OUTPUT!F156,"AAAAAE8/exE=")</f>
        <v>#VALUE!</v>
      </c>
      <c r="S11" t="e">
        <f>AND(OUTPUT!G156,"AAAAAE8/exI=")</f>
        <v>#VALUE!</v>
      </c>
      <c r="T11" t="e">
        <f>AND(OUTPUT!I153,"AAAAAE8/exM=")</f>
        <v>#VALUE!</v>
      </c>
      <c r="U11" t="e">
        <f>AND(OUTPUT!#REF!,"AAAAAE8/exQ=")</f>
        <v>#REF!</v>
      </c>
      <c r="V11" t="e">
        <f>AND(OUTPUT!#REF!,"AAAAAE8/exU=")</f>
        <v>#REF!</v>
      </c>
      <c r="W11" t="e">
        <f>AND(OUTPUT!#REF!,"AAAAAE8/exY=")</f>
        <v>#REF!</v>
      </c>
      <c r="X11" t="e">
        <f>AND(OUTPUT!#REF!,"AAAAAE8/exc=")</f>
        <v>#REF!</v>
      </c>
      <c r="Y11" t="e">
        <f>AND(OUTPUT!#REF!,"AAAAAE8/exg=")</f>
        <v>#REF!</v>
      </c>
      <c r="Z11" t="e">
        <f>AND(OUTPUT!#REF!,"AAAAAE8/exk=")</f>
        <v>#REF!</v>
      </c>
      <c r="AA11" t="e">
        <f>AND(OUTPUT!#REF!,"AAAAAE8/exo=")</f>
        <v>#REF!</v>
      </c>
      <c r="AB11">
        <f>IF(OUTPUT!154:154,"AAAAAE8/exs=",0)</f>
        <v>0</v>
      </c>
      <c r="AC11" t="e">
        <f>AND(OUTPUT!#REF!,"AAAAAE8/exw=")</f>
        <v>#REF!</v>
      </c>
      <c r="AD11" t="e">
        <f>AND(OUTPUT!D156,"AAAAAE8/ex0=")</f>
        <v>#VALUE!</v>
      </c>
      <c r="AE11" t="e">
        <f>AND(OUTPUT!E157,"AAAAAE8/ex4=")</f>
        <v>#VALUE!</v>
      </c>
      <c r="AF11" t="e">
        <f>AND(OUTPUT!F157,"AAAAAE8/ex8=")</f>
        <v>#VALUE!</v>
      </c>
      <c r="AG11" t="e">
        <f>AND(OUTPUT!G157,"AAAAAE8/eyA=")</f>
        <v>#VALUE!</v>
      </c>
      <c r="AH11" t="e">
        <f>AND(OUTPUT!I154,"AAAAAE8/eyE=")</f>
        <v>#VALUE!</v>
      </c>
      <c r="AI11" t="e">
        <f>AND(OUTPUT!#REF!,"AAAAAE8/eyI=")</f>
        <v>#REF!</v>
      </c>
      <c r="AJ11" t="e">
        <f>AND(OUTPUT!#REF!,"AAAAAE8/eyM=")</f>
        <v>#REF!</v>
      </c>
      <c r="AK11" t="e">
        <f>AND(OUTPUT!#REF!,"AAAAAE8/eyQ=")</f>
        <v>#REF!</v>
      </c>
      <c r="AL11" t="e">
        <f>AND(OUTPUT!#REF!,"AAAAAE8/eyU=")</f>
        <v>#REF!</v>
      </c>
      <c r="AM11" t="e">
        <f>AND(OUTPUT!#REF!,"AAAAAE8/eyY=")</f>
        <v>#REF!</v>
      </c>
      <c r="AN11" t="e">
        <f>AND(OUTPUT!#REF!,"AAAAAE8/eyc=")</f>
        <v>#REF!</v>
      </c>
      <c r="AO11" t="e">
        <f>AND(OUTPUT!#REF!,"AAAAAE8/eyg=")</f>
        <v>#REF!</v>
      </c>
      <c r="AP11">
        <f>IF(OUTPUT!155:155,"AAAAAE8/eyk=",0)</f>
        <v>0</v>
      </c>
      <c r="AQ11" t="e">
        <f>AND(OUTPUT!C157,"AAAAAE8/eyo=")</f>
        <v>#VALUE!</v>
      </c>
      <c r="AR11" t="e">
        <f>AND(OUTPUT!D157,"AAAAAE8/eys=")</f>
        <v>#VALUE!</v>
      </c>
      <c r="AS11" t="e">
        <f>AND(OUTPUT!E158,"AAAAAE8/eyw=")</f>
        <v>#VALUE!</v>
      </c>
      <c r="AT11" t="e">
        <f>AND(OUTPUT!F158,"AAAAAE8/ey0=")</f>
        <v>#VALUE!</v>
      </c>
      <c r="AU11" t="e">
        <f>AND(OUTPUT!G158,"AAAAAE8/ey4=")</f>
        <v>#VALUE!</v>
      </c>
      <c r="AV11" t="e">
        <f>AND(OUTPUT!I155,"AAAAAE8/ey8=")</f>
        <v>#VALUE!</v>
      </c>
      <c r="AW11" t="e">
        <f>AND(OUTPUT!#REF!,"AAAAAE8/ezA=")</f>
        <v>#REF!</v>
      </c>
      <c r="AX11" t="e">
        <f>AND(OUTPUT!#REF!,"AAAAAE8/ezE=")</f>
        <v>#REF!</v>
      </c>
      <c r="AY11" t="e">
        <f>AND(OUTPUT!#REF!,"AAAAAE8/ezI=")</f>
        <v>#REF!</v>
      </c>
      <c r="AZ11" t="e">
        <f>AND(OUTPUT!#REF!,"AAAAAE8/ezM=")</f>
        <v>#REF!</v>
      </c>
      <c r="BA11" t="e">
        <f>AND(OUTPUT!#REF!,"AAAAAE8/ezQ=")</f>
        <v>#REF!</v>
      </c>
      <c r="BB11" t="e">
        <f>AND(OUTPUT!#REF!,"AAAAAE8/ezU=")</f>
        <v>#REF!</v>
      </c>
      <c r="BC11" t="e">
        <f>AND(OUTPUT!#REF!,"AAAAAE8/ezY=")</f>
        <v>#REF!</v>
      </c>
      <c r="BD11">
        <f>IF(OUTPUT!156:156,"AAAAAE8/ezc=",0)</f>
        <v>0</v>
      </c>
      <c r="BE11" t="e">
        <f>AND(OUTPUT!C158,"AAAAAE8/ezg=")</f>
        <v>#VALUE!</v>
      </c>
      <c r="BF11" t="e">
        <f>AND(OUTPUT!D158,"AAAAAE8/ezk=")</f>
        <v>#VALUE!</v>
      </c>
      <c r="BG11" t="e">
        <f>AND(OUTPUT!E159,"AAAAAE8/ezo=")</f>
        <v>#VALUE!</v>
      </c>
      <c r="BH11" t="e">
        <f>AND(OUTPUT!F159,"AAAAAE8/ezs=")</f>
        <v>#VALUE!</v>
      </c>
      <c r="BI11" t="e">
        <f>AND(OUTPUT!G159,"AAAAAE8/ezw=")</f>
        <v>#VALUE!</v>
      </c>
      <c r="BJ11" t="e">
        <f>AND(OUTPUT!I156,"AAAAAE8/ez0=")</f>
        <v>#VALUE!</v>
      </c>
      <c r="BK11" t="e">
        <f>AND(OUTPUT!#REF!,"AAAAAE8/ez4=")</f>
        <v>#REF!</v>
      </c>
      <c r="BL11" t="e">
        <f>AND(OUTPUT!#REF!,"AAAAAE8/ez8=")</f>
        <v>#REF!</v>
      </c>
      <c r="BM11" t="e">
        <f>AND(OUTPUT!#REF!,"AAAAAE8/e0A=")</f>
        <v>#REF!</v>
      </c>
      <c r="BN11" t="e">
        <f>AND(OUTPUT!#REF!,"AAAAAE8/e0E=")</f>
        <v>#REF!</v>
      </c>
      <c r="BO11" t="e">
        <f>AND(OUTPUT!#REF!,"AAAAAE8/e0I=")</f>
        <v>#REF!</v>
      </c>
      <c r="BP11" t="e">
        <f>AND(OUTPUT!#REF!,"AAAAAE8/e0M=")</f>
        <v>#REF!</v>
      </c>
      <c r="BQ11" t="e">
        <f>AND(OUTPUT!#REF!,"AAAAAE8/e0Q=")</f>
        <v>#REF!</v>
      </c>
      <c r="BR11">
        <f>IF(OUTPUT!157:157,"AAAAAE8/e0U=",0)</f>
        <v>0</v>
      </c>
      <c r="BS11" t="e">
        <f>AND(OUTPUT!C159,"AAAAAE8/e0Y=")</f>
        <v>#VALUE!</v>
      </c>
      <c r="BT11" t="e">
        <f>AND(OUTPUT!D159,"AAAAAE8/e0c=")</f>
        <v>#VALUE!</v>
      </c>
      <c r="BU11" t="e">
        <f>AND(OUTPUT!E160,"AAAAAE8/e0g=")</f>
        <v>#VALUE!</v>
      </c>
      <c r="BV11" t="e">
        <f>AND(OUTPUT!F160,"AAAAAE8/e0k=")</f>
        <v>#VALUE!</v>
      </c>
      <c r="BW11" t="e">
        <f>AND(OUTPUT!G160,"AAAAAE8/e0o=")</f>
        <v>#VALUE!</v>
      </c>
      <c r="BX11" t="e">
        <f>AND(OUTPUT!I157,"AAAAAE8/e0s=")</f>
        <v>#VALUE!</v>
      </c>
      <c r="BY11" t="e">
        <f>AND(OUTPUT!#REF!,"AAAAAE8/e0w=")</f>
        <v>#REF!</v>
      </c>
      <c r="BZ11" t="e">
        <f>AND(OUTPUT!#REF!,"AAAAAE8/e00=")</f>
        <v>#REF!</v>
      </c>
      <c r="CA11" t="e">
        <f>AND(OUTPUT!#REF!,"AAAAAE8/e04=")</f>
        <v>#REF!</v>
      </c>
      <c r="CB11" t="e">
        <f>AND(OUTPUT!#REF!,"AAAAAE8/e08=")</f>
        <v>#REF!</v>
      </c>
      <c r="CC11" t="e">
        <f>AND(OUTPUT!#REF!,"AAAAAE8/e1A=")</f>
        <v>#REF!</v>
      </c>
      <c r="CD11" t="e">
        <f>AND(OUTPUT!#REF!,"AAAAAE8/e1E=")</f>
        <v>#REF!</v>
      </c>
      <c r="CE11" t="e">
        <f>AND(OUTPUT!#REF!,"AAAAAE8/e1I=")</f>
        <v>#REF!</v>
      </c>
      <c r="CF11">
        <f>IF(OUTPUT!158:158,"AAAAAE8/e1M=",0)</f>
        <v>0</v>
      </c>
      <c r="CG11" t="e">
        <f>AND(OUTPUT!C161,"AAAAAE8/e1Q=")</f>
        <v>#VALUE!</v>
      </c>
      <c r="CH11" t="e">
        <f>AND(OUTPUT!D160,"AAAAAE8/e1U=")</f>
        <v>#VALUE!</v>
      </c>
      <c r="CI11" t="e">
        <f>AND(OUTPUT!E161,"AAAAAE8/e1Y=")</f>
        <v>#VALUE!</v>
      </c>
      <c r="CJ11" t="e">
        <f>AND(OUTPUT!F161,"AAAAAE8/e1c=")</f>
        <v>#VALUE!</v>
      </c>
      <c r="CK11" t="e">
        <f>AND(OUTPUT!G161,"AAAAAE8/e1g=")</f>
        <v>#VALUE!</v>
      </c>
      <c r="CL11" t="e">
        <f>AND(OUTPUT!I158,"AAAAAE8/e1k=")</f>
        <v>#VALUE!</v>
      </c>
      <c r="CM11" t="e">
        <f>AND(OUTPUT!#REF!,"AAAAAE8/e1o=")</f>
        <v>#REF!</v>
      </c>
      <c r="CN11" t="e">
        <f>AND(OUTPUT!#REF!,"AAAAAE8/e1s=")</f>
        <v>#REF!</v>
      </c>
      <c r="CO11" t="e">
        <f>AND(OUTPUT!#REF!,"AAAAAE8/e1w=")</f>
        <v>#REF!</v>
      </c>
      <c r="CP11" t="e">
        <f>AND(OUTPUT!#REF!,"AAAAAE8/e10=")</f>
        <v>#REF!</v>
      </c>
      <c r="CQ11" t="e">
        <f>AND(OUTPUT!#REF!,"AAAAAE8/e14=")</f>
        <v>#REF!</v>
      </c>
      <c r="CR11" t="e">
        <f>AND(OUTPUT!#REF!,"AAAAAE8/e18=")</f>
        <v>#REF!</v>
      </c>
      <c r="CS11" t="e">
        <f>AND(OUTPUT!#REF!,"AAAAAE8/e2A=")</f>
        <v>#REF!</v>
      </c>
      <c r="CT11">
        <f>IF(OUTPUT!159:159,"AAAAAE8/e2E=",0)</f>
        <v>0</v>
      </c>
      <c r="CU11" t="e">
        <f>AND(OUTPUT!C162,"AAAAAE8/e2I=")</f>
        <v>#VALUE!</v>
      </c>
      <c r="CV11" t="e">
        <f>AND(OUTPUT!D161,"AAAAAE8/e2M=")</f>
        <v>#VALUE!</v>
      </c>
      <c r="CW11" t="e">
        <f>AND(OUTPUT!E162,"AAAAAE8/e2Q=")</f>
        <v>#VALUE!</v>
      </c>
      <c r="CX11" t="e">
        <f>AND(OUTPUT!F162,"AAAAAE8/e2U=")</f>
        <v>#VALUE!</v>
      </c>
      <c r="CY11" t="e">
        <f>AND(OUTPUT!G162,"AAAAAE8/e2Y=")</f>
        <v>#VALUE!</v>
      </c>
      <c r="CZ11" t="e">
        <f>AND(OUTPUT!I159,"AAAAAE8/e2c=")</f>
        <v>#VALUE!</v>
      </c>
      <c r="DA11" t="e">
        <f>AND(OUTPUT!#REF!,"AAAAAE8/e2g=")</f>
        <v>#REF!</v>
      </c>
      <c r="DB11" t="e">
        <f>AND(OUTPUT!#REF!,"AAAAAE8/e2k=")</f>
        <v>#REF!</v>
      </c>
      <c r="DC11" t="e">
        <f>AND(OUTPUT!#REF!,"AAAAAE8/e2o=")</f>
        <v>#REF!</v>
      </c>
      <c r="DD11" t="e">
        <f>AND(OUTPUT!#REF!,"AAAAAE8/e2s=")</f>
        <v>#REF!</v>
      </c>
      <c r="DE11" t="e">
        <f>AND(OUTPUT!#REF!,"AAAAAE8/e2w=")</f>
        <v>#REF!</v>
      </c>
      <c r="DF11" t="e">
        <f>AND(OUTPUT!#REF!,"AAAAAE8/e20=")</f>
        <v>#REF!</v>
      </c>
      <c r="DG11" t="e">
        <f>AND(OUTPUT!#REF!,"AAAAAE8/e24=")</f>
        <v>#REF!</v>
      </c>
      <c r="DH11">
        <f>IF(OUTPUT!160:160,"AAAAAE8/e28=",0)</f>
        <v>0</v>
      </c>
      <c r="DI11" t="e">
        <f>AND(OUTPUT!C163,"AAAAAE8/e3A=")</f>
        <v>#VALUE!</v>
      </c>
      <c r="DJ11" t="e">
        <f>AND(OUTPUT!D162,"AAAAAE8/e3E=")</f>
        <v>#VALUE!</v>
      </c>
      <c r="DK11" t="e">
        <f>AND(OUTPUT!E163,"AAAAAE8/e3I=")</f>
        <v>#VALUE!</v>
      </c>
      <c r="DL11" t="e">
        <f>AND(OUTPUT!F163,"AAAAAE8/e3M=")</f>
        <v>#VALUE!</v>
      </c>
      <c r="DM11" t="e">
        <f>AND(OUTPUT!G163,"AAAAAE8/e3Q=")</f>
        <v>#VALUE!</v>
      </c>
      <c r="DN11" t="e">
        <f>AND(OUTPUT!I160,"AAAAAE8/e3U=")</f>
        <v>#VALUE!</v>
      </c>
      <c r="DO11" t="e">
        <f>AND(OUTPUT!#REF!,"AAAAAE8/e3Y=")</f>
        <v>#REF!</v>
      </c>
      <c r="DP11" t="e">
        <f>AND(OUTPUT!#REF!,"AAAAAE8/e3c=")</f>
        <v>#REF!</v>
      </c>
      <c r="DQ11" t="e">
        <f>AND(OUTPUT!#REF!,"AAAAAE8/e3g=")</f>
        <v>#REF!</v>
      </c>
      <c r="DR11" t="e">
        <f>AND(OUTPUT!#REF!,"AAAAAE8/e3k=")</f>
        <v>#REF!</v>
      </c>
      <c r="DS11" t="e">
        <f>AND(OUTPUT!#REF!,"AAAAAE8/e3o=")</f>
        <v>#REF!</v>
      </c>
      <c r="DT11" t="e">
        <f>AND(OUTPUT!#REF!,"AAAAAE8/e3s=")</f>
        <v>#REF!</v>
      </c>
      <c r="DU11" t="e">
        <f>AND(OUTPUT!#REF!,"AAAAAE8/e3w=")</f>
        <v>#REF!</v>
      </c>
      <c r="DV11">
        <f>IF(OUTPUT!161:161,"AAAAAE8/e30=",0)</f>
        <v>0</v>
      </c>
      <c r="DW11" t="e">
        <f>AND(OUTPUT!C164,"AAAAAE8/e34=")</f>
        <v>#VALUE!</v>
      </c>
      <c r="DX11" t="e">
        <f>AND(OUTPUT!D163,"AAAAAE8/e38=")</f>
        <v>#VALUE!</v>
      </c>
      <c r="DY11" t="e">
        <f>AND(OUTPUT!E164,"AAAAAE8/e4A=")</f>
        <v>#VALUE!</v>
      </c>
      <c r="DZ11" t="e">
        <f>AND(OUTPUT!F164,"AAAAAE8/e4E=")</f>
        <v>#VALUE!</v>
      </c>
      <c r="EA11" t="e">
        <f>AND(OUTPUT!G164,"AAAAAE8/e4I=")</f>
        <v>#VALUE!</v>
      </c>
      <c r="EB11" t="e">
        <f>AND(OUTPUT!I161,"AAAAAE8/e4M=")</f>
        <v>#VALUE!</v>
      </c>
      <c r="EC11" t="e">
        <f>AND(OUTPUT!#REF!,"AAAAAE8/e4Q=")</f>
        <v>#REF!</v>
      </c>
      <c r="ED11" t="e">
        <f>AND(OUTPUT!#REF!,"AAAAAE8/e4U=")</f>
        <v>#REF!</v>
      </c>
      <c r="EE11" t="e">
        <f>AND(OUTPUT!#REF!,"AAAAAE8/e4Y=")</f>
        <v>#REF!</v>
      </c>
      <c r="EF11" t="e">
        <f>AND(OUTPUT!#REF!,"AAAAAE8/e4c=")</f>
        <v>#REF!</v>
      </c>
      <c r="EG11" t="e">
        <f>AND(OUTPUT!#REF!,"AAAAAE8/e4g=")</f>
        <v>#REF!</v>
      </c>
      <c r="EH11" t="e">
        <f>AND(OUTPUT!#REF!,"AAAAAE8/e4k=")</f>
        <v>#REF!</v>
      </c>
      <c r="EI11" t="e">
        <f>AND(OUTPUT!#REF!,"AAAAAE8/e4o=")</f>
        <v>#REF!</v>
      </c>
      <c r="EJ11">
        <f>IF(OUTPUT!162:162,"AAAAAE8/e4s=",0)</f>
        <v>0</v>
      </c>
      <c r="EK11" t="e">
        <f>AND(OUTPUT!C165,"AAAAAE8/e4w=")</f>
        <v>#VALUE!</v>
      </c>
      <c r="EL11" t="e">
        <f>AND(OUTPUT!D164,"AAAAAE8/e40=")</f>
        <v>#VALUE!</v>
      </c>
      <c r="EM11" t="e">
        <f>AND(OUTPUT!E165,"AAAAAE8/e44=")</f>
        <v>#VALUE!</v>
      </c>
      <c r="EN11" t="e">
        <f>AND(OUTPUT!F165,"AAAAAE8/e48=")</f>
        <v>#VALUE!</v>
      </c>
      <c r="EO11" t="e">
        <f>AND(OUTPUT!G165,"AAAAAE8/e5A=")</f>
        <v>#VALUE!</v>
      </c>
      <c r="EP11" t="e">
        <f>AND(OUTPUT!I162,"AAAAAE8/e5E=")</f>
        <v>#VALUE!</v>
      </c>
      <c r="EQ11" t="e">
        <f>AND(OUTPUT!#REF!,"AAAAAE8/e5I=")</f>
        <v>#REF!</v>
      </c>
      <c r="ER11" t="e">
        <f>AND(OUTPUT!#REF!,"AAAAAE8/e5M=")</f>
        <v>#REF!</v>
      </c>
      <c r="ES11" t="e">
        <f>AND(OUTPUT!#REF!,"AAAAAE8/e5Q=")</f>
        <v>#REF!</v>
      </c>
      <c r="ET11" t="e">
        <f>AND(OUTPUT!#REF!,"AAAAAE8/e5U=")</f>
        <v>#REF!</v>
      </c>
      <c r="EU11" t="e">
        <f>AND(OUTPUT!#REF!,"AAAAAE8/e5Y=")</f>
        <v>#REF!</v>
      </c>
      <c r="EV11" t="e">
        <f>AND(OUTPUT!#REF!,"AAAAAE8/e5c=")</f>
        <v>#REF!</v>
      </c>
      <c r="EW11" t="e">
        <f>AND(OUTPUT!#REF!,"AAAAAE8/e5g=")</f>
        <v>#REF!</v>
      </c>
      <c r="EX11">
        <f>IF(OUTPUT!163:163,"AAAAAE8/e5k=",0)</f>
        <v>0</v>
      </c>
      <c r="EY11" t="e">
        <f>AND(OUTPUT!C166,"AAAAAE8/e5o=")</f>
        <v>#VALUE!</v>
      </c>
      <c r="EZ11" t="e">
        <f>AND(OUTPUT!D165,"AAAAAE8/e5s=")</f>
        <v>#VALUE!</v>
      </c>
      <c r="FA11" t="e">
        <f>AND(OUTPUT!E166,"AAAAAE8/e5w=")</f>
        <v>#VALUE!</v>
      </c>
      <c r="FB11" t="e">
        <f>AND(OUTPUT!F166,"AAAAAE8/e50=")</f>
        <v>#VALUE!</v>
      </c>
      <c r="FC11" t="e">
        <f>AND(OUTPUT!G166,"AAAAAE8/e54=")</f>
        <v>#VALUE!</v>
      </c>
      <c r="FD11" t="e">
        <f>AND(OUTPUT!I163,"AAAAAE8/e58=")</f>
        <v>#VALUE!</v>
      </c>
      <c r="FE11" t="e">
        <f>AND(OUTPUT!#REF!,"AAAAAE8/e6A=")</f>
        <v>#REF!</v>
      </c>
      <c r="FF11" t="e">
        <f>AND(OUTPUT!#REF!,"AAAAAE8/e6E=")</f>
        <v>#REF!</v>
      </c>
      <c r="FG11" t="e">
        <f>AND(OUTPUT!#REF!,"AAAAAE8/e6I=")</f>
        <v>#REF!</v>
      </c>
      <c r="FH11" t="e">
        <f>AND(OUTPUT!#REF!,"AAAAAE8/e6M=")</f>
        <v>#REF!</v>
      </c>
      <c r="FI11" t="e">
        <f>AND(OUTPUT!#REF!,"AAAAAE8/e6Q=")</f>
        <v>#REF!</v>
      </c>
      <c r="FJ11" t="e">
        <f>AND(OUTPUT!#REF!,"AAAAAE8/e6U=")</f>
        <v>#REF!</v>
      </c>
      <c r="FK11" t="e">
        <f>AND(OUTPUT!#REF!,"AAAAAE8/e6Y=")</f>
        <v>#REF!</v>
      </c>
      <c r="FL11">
        <f>IF(OUTPUT!164:164,"AAAAAE8/e6c=",0)</f>
        <v>0</v>
      </c>
      <c r="FM11" t="e">
        <f>AND(OUTPUT!C167,"AAAAAE8/e6g=")</f>
        <v>#VALUE!</v>
      </c>
      <c r="FN11" t="e">
        <f>AND(OUTPUT!D166,"AAAAAE8/e6k=")</f>
        <v>#VALUE!</v>
      </c>
      <c r="FO11" t="e">
        <f>AND(OUTPUT!E167,"AAAAAE8/e6o=")</f>
        <v>#VALUE!</v>
      </c>
      <c r="FP11" t="e">
        <f>AND(OUTPUT!F167,"AAAAAE8/e6s=")</f>
        <v>#VALUE!</v>
      </c>
      <c r="FQ11" t="e">
        <f>AND(OUTPUT!G167,"AAAAAE8/e6w=")</f>
        <v>#VALUE!</v>
      </c>
      <c r="FR11" t="e">
        <f>AND(OUTPUT!I164,"AAAAAE8/e60=")</f>
        <v>#VALUE!</v>
      </c>
      <c r="FS11" t="e">
        <f>AND(OUTPUT!#REF!,"AAAAAE8/e64=")</f>
        <v>#REF!</v>
      </c>
      <c r="FT11" t="e">
        <f>AND(OUTPUT!#REF!,"AAAAAE8/e68=")</f>
        <v>#REF!</v>
      </c>
      <c r="FU11" t="e">
        <f>AND(OUTPUT!#REF!,"AAAAAE8/e7A=")</f>
        <v>#REF!</v>
      </c>
      <c r="FV11" t="e">
        <f>AND(OUTPUT!#REF!,"AAAAAE8/e7E=")</f>
        <v>#REF!</v>
      </c>
      <c r="FW11" t="e">
        <f>AND(OUTPUT!#REF!,"AAAAAE8/e7I=")</f>
        <v>#REF!</v>
      </c>
      <c r="FX11" t="e">
        <f>AND(OUTPUT!#REF!,"AAAAAE8/e7M=")</f>
        <v>#REF!</v>
      </c>
      <c r="FY11" t="e">
        <f>AND(OUTPUT!#REF!,"AAAAAE8/e7Q=")</f>
        <v>#REF!</v>
      </c>
      <c r="FZ11">
        <f>IF(OUTPUT!165:165,"AAAAAE8/e7U=",0)</f>
        <v>0</v>
      </c>
      <c r="GA11" t="e">
        <f>AND(OUTPUT!C168,"AAAAAE8/e7Y=")</f>
        <v>#VALUE!</v>
      </c>
      <c r="GB11" t="e">
        <f>AND(OUTPUT!D167,"AAAAAE8/e7c=")</f>
        <v>#VALUE!</v>
      </c>
      <c r="GC11" t="e">
        <f>AND(OUTPUT!E168,"AAAAAE8/e7g=")</f>
        <v>#VALUE!</v>
      </c>
      <c r="GD11" t="e">
        <f>AND(OUTPUT!F168,"AAAAAE8/e7k=")</f>
        <v>#VALUE!</v>
      </c>
      <c r="GE11" t="e">
        <f>AND(OUTPUT!G168,"AAAAAE8/e7o=")</f>
        <v>#VALUE!</v>
      </c>
      <c r="GF11" t="e">
        <f>AND(OUTPUT!I165,"AAAAAE8/e7s=")</f>
        <v>#VALUE!</v>
      </c>
      <c r="GG11" t="e">
        <f>AND(OUTPUT!#REF!,"AAAAAE8/e7w=")</f>
        <v>#REF!</v>
      </c>
      <c r="GH11" t="e">
        <f>AND(OUTPUT!#REF!,"AAAAAE8/e70=")</f>
        <v>#REF!</v>
      </c>
      <c r="GI11" t="e">
        <f>AND(OUTPUT!#REF!,"AAAAAE8/e74=")</f>
        <v>#REF!</v>
      </c>
      <c r="GJ11" t="e">
        <f>AND(OUTPUT!#REF!,"AAAAAE8/e78=")</f>
        <v>#REF!</v>
      </c>
      <c r="GK11" t="e">
        <f>AND(OUTPUT!#REF!,"AAAAAE8/e8A=")</f>
        <v>#REF!</v>
      </c>
      <c r="GL11" t="e">
        <f>AND(OUTPUT!#REF!,"AAAAAE8/e8E=")</f>
        <v>#REF!</v>
      </c>
      <c r="GM11" t="e">
        <f>AND(OUTPUT!#REF!,"AAAAAE8/e8I=")</f>
        <v>#REF!</v>
      </c>
      <c r="GN11">
        <f>IF(OUTPUT!169:169,"AAAAAE8/e8M=",0)</f>
        <v>0</v>
      </c>
      <c r="GO11" t="e">
        <f>AND(OUTPUT!C177,"AAAAAE8/e8Q=")</f>
        <v>#VALUE!</v>
      </c>
      <c r="GP11" t="e">
        <f>AND(OUTPUT!D175,"AAAAAE8/e8U=")</f>
        <v>#VALUE!</v>
      </c>
      <c r="GQ11" t="e">
        <f>AND(OUTPUT!E177,"AAAAAE8/e8Y=")</f>
        <v>#VALUE!</v>
      </c>
      <c r="GR11" t="e">
        <f>AND(OUTPUT!F177,"AAAAAE8/e8c=")</f>
        <v>#VALUE!</v>
      </c>
      <c r="GS11" t="e">
        <f>AND(OUTPUT!G177,"AAAAAE8/e8g=")</f>
        <v>#VALUE!</v>
      </c>
      <c r="GT11" t="e">
        <f>AND(OUTPUT!I169,"AAAAAE8/e8k=")</f>
        <v>#VALUE!</v>
      </c>
      <c r="GU11" t="e">
        <f>AND(OUTPUT!#REF!,"AAAAAE8/e8o=")</f>
        <v>#REF!</v>
      </c>
      <c r="GV11" t="e">
        <f>AND(OUTPUT!#REF!,"AAAAAE8/e8s=")</f>
        <v>#REF!</v>
      </c>
      <c r="GW11" t="e">
        <f>AND(OUTPUT!#REF!,"AAAAAE8/e8w=")</f>
        <v>#REF!</v>
      </c>
      <c r="GX11" t="e">
        <f>AND(OUTPUT!#REF!,"AAAAAE8/e80=")</f>
        <v>#REF!</v>
      </c>
      <c r="GY11" t="e">
        <f>AND(OUTPUT!#REF!,"AAAAAE8/e84=")</f>
        <v>#REF!</v>
      </c>
      <c r="GZ11" t="e">
        <f>AND(OUTPUT!#REF!,"AAAAAE8/e88=")</f>
        <v>#REF!</v>
      </c>
      <c r="HA11" t="e">
        <f>AND(OUTPUT!#REF!,"AAAAAE8/e9A=")</f>
        <v>#REF!</v>
      </c>
      <c r="HB11">
        <f>IF(OUTPUT!170:170,"AAAAAE8/e9E=",0)</f>
        <v>0</v>
      </c>
      <c r="HC11" t="e">
        <f>AND(OUTPUT!C178,"AAAAAE8/e9I=")</f>
        <v>#VALUE!</v>
      </c>
      <c r="HD11" t="e">
        <f>AND(OUTPUT!D177,"AAAAAE8/e9M=")</f>
        <v>#VALUE!</v>
      </c>
      <c r="HE11" t="e">
        <f>AND(OUTPUT!E178,"AAAAAE8/e9Q=")</f>
        <v>#VALUE!</v>
      </c>
      <c r="HF11" t="e">
        <f>AND(OUTPUT!F178,"AAAAAE8/e9U=")</f>
        <v>#VALUE!</v>
      </c>
      <c r="HG11" t="e">
        <f>AND(OUTPUT!G178,"AAAAAE8/e9Y=")</f>
        <v>#VALUE!</v>
      </c>
      <c r="HH11" t="e">
        <f>AND(OUTPUT!I170,"AAAAAE8/e9c=")</f>
        <v>#VALUE!</v>
      </c>
      <c r="HI11" t="e">
        <f>AND(OUTPUT!#REF!,"AAAAAE8/e9g=")</f>
        <v>#REF!</v>
      </c>
      <c r="HJ11" t="e">
        <f>AND(OUTPUT!#REF!,"AAAAAE8/e9k=")</f>
        <v>#REF!</v>
      </c>
      <c r="HK11" t="e">
        <f>AND(OUTPUT!#REF!,"AAAAAE8/e9o=")</f>
        <v>#REF!</v>
      </c>
      <c r="HL11" t="e">
        <f>AND(OUTPUT!#REF!,"AAAAAE8/e9s=")</f>
        <v>#REF!</v>
      </c>
      <c r="HM11" t="e">
        <f>AND(OUTPUT!#REF!,"AAAAAE8/e9w=")</f>
        <v>#REF!</v>
      </c>
      <c r="HN11" t="e">
        <f>AND(OUTPUT!#REF!,"AAAAAE8/e90=")</f>
        <v>#REF!</v>
      </c>
      <c r="HO11" t="e">
        <f>AND(OUTPUT!#REF!,"AAAAAE8/e94=")</f>
        <v>#REF!</v>
      </c>
      <c r="HP11">
        <f>IF(OUTPUT!171:171,"AAAAAE8/e98=",0)</f>
        <v>0</v>
      </c>
      <c r="HQ11" t="e">
        <f>AND(OUTPUT!#REF!,"AAAAAE8/e+A=")</f>
        <v>#REF!</v>
      </c>
      <c r="HR11" t="e">
        <f>AND(OUTPUT!D178,"AAAAAE8/e+E=")</f>
        <v>#VALUE!</v>
      </c>
      <c r="HS11" t="e">
        <f>AND(OUTPUT!#REF!,"AAAAAE8/e+I=")</f>
        <v>#REF!</v>
      </c>
      <c r="HT11" t="e">
        <f>AND(OUTPUT!#REF!,"AAAAAE8/e+M=")</f>
        <v>#REF!</v>
      </c>
      <c r="HU11" t="e">
        <f>AND(OUTPUT!#REF!,"AAAAAE8/e+Q=")</f>
        <v>#REF!</v>
      </c>
      <c r="HV11" t="e">
        <f>AND(OUTPUT!I171,"AAAAAE8/e+U=")</f>
        <v>#VALUE!</v>
      </c>
      <c r="HW11" t="e">
        <f>AND(OUTPUT!#REF!,"AAAAAE8/e+Y=")</f>
        <v>#REF!</v>
      </c>
      <c r="HX11" t="e">
        <f>AND(OUTPUT!#REF!,"AAAAAE8/e+c=")</f>
        <v>#REF!</v>
      </c>
      <c r="HY11" t="e">
        <f>AND(OUTPUT!#REF!,"AAAAAE8/e+g=")</f>
        <v>#REF!</v>
      </c>
      <c r="HZ11" t="e">
        <f>AND(OUTPUT!#REF!,"AAAAAE8/e+k=")</f>
        <v>#REF!</v>
      </c>
      <c r="IA11" t="e">
        <f>AND(OUTPUT!#REF!,"AAAAAE8/e+o=")</f>
        <v>#REF!</v>
      </c>
      <c r="IB11" t="e">
        <f>AND(OUTPUT!#REF!,"AAAAAE8/e+s=")</f>
        <v>#REF!</v>
      </c>
      <c r="IC11" t="e">
        <f>AND(OUTPUT!#REF!,"AAAAAE8/e+w=")</f>
        <v>#REF!</v>
      </c>
      <c r="ID11">
        <f>IF(OUTPUT!172:172,"AAAAAE8/e+0=",0)</f>
        <v>0</v>
      </c>
      <c r="IE11" t="e">
        <f>AND(OUTPUT!#REF!,"AAAAAE8/e+4=")</f>
        <v>#REF!</v>
      </c>
      <c r="IF11" t="e">
        <f>AND(OUTPUT!#REF!,"AAAAAE8/e+8=")</f>
        <v>#REF!</v>
      </c>
      <c r="IG11" t="e">
        <f>AND(OUTPUT!#REF!,"AAAAAE8/e/A=")</f>
        <v>#REF!</v>
      </c>
      <c r="IH11" t="e">
        <f>AND(OUTPUT!#REF!,"AAAAAE8/e/E=")</f>
        <v>#REF!</v>
      </c>
      <c r="II11" t="e">
        <f>AND(OUTPUT!#REF!,"AAAAAE8/e/I=")</f>
        <v>#REF!</v>
      </c>
      <c r="IJ11" t="e">
        <f>AND(OUTPUT!I172,"AAAAAE8/e/M=")</f>
        <v>#VALUE!</v>
      </c>
      <c r="IK11" t="e">
        <f>AND(OUTPUT!#REF!,"AAAAAE8/e/Q=")</f>
        <v>#REF!</v>
      </c>
      <c r="IL11" t="e">
        <f>AND(OUTPUT!#REF!,"AAAAAE8/e/U=")</f>
        <v>#REF!</v>
      </c>
      <c r="IM11" t="e">
        <f>AND(OUTPUT!#REF!,"AAAAAE8/e/Y=")</f>
        <v>#REF!</v>
      </c>
      <c r="IN11" t="e">
        <f>AND(OUTPUT!#REF!,"AAAAAE8/e/c=")</f>
        <v>#REF!</v>
      </c>
      <c r="IO11" t="e">
        <f>AND(OUTPUT!#REF!,"AAAAAE8/e/g=")</f>
        <v>#REF!</v>
      </c>
      <c r="IP11" t="e">
        <f>AND(OUTPUT!#REF!,"AAAAAE8/e/k=")</f>
        <v>#REF!</v>
      </c>
      <c r="IQ11" t="e">
        <f>AND(OUTPUT!#REF!,"AAAAAE8/e/o=")</f>
        <v>#REF!</v>
      </c>
      <c r="IR11">
        <f>IF(OUTPUT!174:174,"AAAAAE8/e/s=",0)</f>
        <v>0</v>
      </c>
      <c r="IS11" t="e">
        <f>AND(OUTPUT!C179,"AAAAAE8/e/w=")</f>
        <v>#VALUE!</v>
      </c>
      <c r="IT11" t="e">
        <f>AND(OUTPUT!#REF!,"AAAAAE8/e/0=")</f>
        <v>#REF!</v>
      </c>
      <c r="IU11" t="e">
        <f>AND(OUTPUT!E179,"AAAAAE8/e/4=")</f>
        <v>#VALUE!</v>
      </c>
      <c r="IV11" t="e">
        <f>AND(OUTPUT!F179,"AAAAAE8/e/8=")</f>
        <v>#VALUE!</v>
      </c>
    </row>
    <row r="12" spans="1:256" x14ac:dyDescent="0.2">
      <c r="A12" t="e">
        <f>AND(OUTPUT!G179,"AAAAAFv3/QA=")</f>
        <v>#VALUE!</v>
      </c>
      <c r="B12" t="e">
        <f>AND(OUTPUT!I174,"AAAAAFv3/QE=")</f>
        <v>#VALUE!</v>
      </c>
      <c r="C12" t="e">
        <f>AND(OUTPUT!#REF!,"AAAAAFv3/QI=")</f>
        <v>#REF!</v>
      </c>
      <c r="D12" t="e">
        <f>AND(OUTPUT!#REF!,"AAAAAFv3/QM=")</f>
        <v>#REF!</v>
      </c>
      <c r="E12" t="e">
        <f>AND(OUTPUT!#REF!,"AAAAAFv3/QQ=")</f>
        <v>#REF!</v>
      </c>
      <c r="F12" t="e">
        <f>AND(OUTPUT!#REF!,"AAAAAFv3/QU=")</f>
        <v>#REF!</v>
      </c>
      <c r="G12" t="e">
        <f>AND(OUTPUT!#REF!,"AAAAAFv3/QY=")</f>
        <v>#REF!</v>
      </c>
      <c r="H12" t="e">
        <f>AND(OUTPUT!#REF!,"AAAAAFv3/Qc=")</f>
        <v>#REF!</v>
      </c>
      <c r="I12" t="e">
        <f>AND(OUTPUT!#REF!,"AAAAAFv3/Qg=")</f>
        <v>#REF!</v>
      </c>
      <c r="J12">
        <f>IF(OUTPUT!175:175,"AAAAAFv3/Qk=",0)</f>
        <v>0</v>
      </c>
      <c r="K12" t="e">
        <f>AND(OUTPUT!C180,"AAAAAFv3/Qo=")</f>
        <v>#VALUE!</v>
      </c>
      <c r="L12" t="e">
        <f>AND(OUTPUT!D179,"AAAAAFv3/Qs=")</f>
        <v>#VALUE!</v>
      </c>
      <c r="M12" t="e">
        <f>AND(OUTPUT!E180,"AAAAAFv3/Qw=")</f>
        <v>#VALUE!</v>
      </c>
      <c r="N12" t="e">
        <f>AND(OUTPUT!F180,"AAAAAFv3/Q0=")</f>
        <v>#VALUE!</v>
      </c>
      <c r="O12" t="e">
        <f>AND(OUTPUT!G180,"AAAAAFv3/Q4=")</f>
        <v>#VALUE!</v>
      </c>
      <c r="P12" t="e">
        <f>AND(OUTPUT!I175,"AAAAAFv3/Q8=")</f>
        <v>#VALUE!</v>
      </c>
      <c r="Q12" t="e">
        <f>AND(OUTPUT!#REF!,"AAAAAFv3/RA=")</f>
        <v>#REF!</v>
      </c>
      <c r="R12" t="e">
        <f>AND(OUTPUT!#REF!,"AAAAAFv3/RE=")</f>
        <v>#REF!</v>
      </c>
      <c r="S12" t="e">
        <f>AND(OUTPUT!#REF!,"AAAAAFv3/RI=")</f>
        <v>#REF!</v>
      </c>
      <c r="T12" t="e">
        <f>AND(OUTPUT!#REF!,"AAAAAFv3/RM=")</f>
        <v>#REF!</v>
      </c>
      <c r="U12" t="e">
        <f>AND(OUTPUT!#REF!,"AAAAAFv3/RQ=")</f>
        <v>#REF!</v>
      </c>
      <c r="V12" t="e">
        <f>AND(OUTPUT!#REF!,"AAAAAFv3/RU=")</f>
        <v>#REF!</v>
      </c>
      <c r="W12" t="e">
        <f>AND(OUTPUT!#REF!,"AAAAAFv3/RY=")</f>
        <v>#REF!</v>
      </c>
      <c r="X12">
        <f>IF(OUTPUT!176:176,"AAAAAFv3/Rc=",0)</f>
        <v>0</v>
      </c>
      <c r="Y12" t="e">
        <f>AND(OUTPUT!C181,"AAAAAFv3/Rg=")</f>
        <v>#VALUE!</v>
      </c>
      <c r="Z12" t="e">
        <f>AND(OUTPUT!D180,"AAAAAFv3/Rk=")</f>
        <v>#VALUE!</v>
      </c>
      <c r="AA12" t="e">
        <f>AND(OUTPUT!E181,"AAAAAFv3/Ro=")</f>
        <v>#VALUE!</v>
      </c>
      <c r="AB12" t="e">
        <f>AND(OUTPUT!F181,"AAAAAFv3/Rs=")</f>
        <v>#VALUE!</v>
      </c>
      <c r="AC12" t="e">
        <f>AND(OUTPUT!G181,"AAAAAFv3/Rw=")</f>
        <v>#VALUE!</v>
      </c>
      <c r="AD12" t="e">
        <f>AND(OUTPUT!I176,"AAAAAFv3/R0=")</f>
        <v>#VALUE!</v>
      </c>
      <c r="AE12" t="e">
        <f>AND(OUTPUT!#REF!,"AAAAAFv3/R4=")</f>
        <v>#REF!</v>
      </c>
      <c r="AF12" t="e">
        <f>AND(OUTPUT!#REF!,"AAAAAFv3/R8=")</f>
        <v>#REF!</v>
      </c>
      <c r="AG12" t="e">
        <f>AND(OUTPUT!#REF!,"AAAAAFv3/SA=")</f>
        <v>#REF!</v>
      </c>
      <c r="AH12" t="e">
        <f>AND(OUTPUT!#REF!,"AAAAAFv3/SE=")</f>
        <v>#REF!</v>
      </c>
      <c r="AI12" t="e">
        <f>AND(OUTPUT!#REF!,"AAAAAFv3/SI=")</f>
        <v>#REF!</v>
      </c>
      <c r="AJ12" t="e">
        <f>AND(OUTPUT!#REF!,"AAAAAFv3/SM=")</f>
        <v>#REF!</v>
      </c>
      <c r="AK12" t="e">
        <f>AND(OUTPUT!#REF!,"AAAAAFv3/SQ=")</f>
        <v>#REF!</v>
      </c>
      <c r="AL12">
        <f>IF(OUTPUT!177:177,"AAAAAFv3/SU=",0)</f>
        <v>0</v>
      </c>
      <c r="AM12" t="e">
        <f>AND(OUTPUT!C182,"AAAAAFv3/SY=")</f>
        <v>#VALUE!</v>
      </c>
      <c r="AN12" t="e">
        <f>AND(OUTPUT!D181,"AAAAAFv3/Sc=")</f>
        <v>#VALUE!</v>
      </c>
      <c r="AO12" t="e">
        <f>AND(OUTPUT!E182,"AAAAAFv3/Sg=")</f>
        <v>#VALUE!</v>
      </c>
      <c r="AP12" t="e">
        <f>AND(OUTPUT!F182,"AAAAAFv3/Sk=")</f>
        <v>#VALUE!</v>
      </c>
      <c r="AQ12" t="e">
        <f>AND(OUTPUT!G182,"AAAAAFv3/So=")</f>
        <v>#VALUE!</v>
      </c>
      <c r="AR12" t="e">
        <f>AND(OUTPUT!I177,"AAAAAFv3/Ss=")</f>
        <v>#VALUE!</v>
      </c>
      <c r="AS12" t="e">
        <f>AND(OUTPUT!#REF!,"AAAAAFv3/Sw=")</f>
        <v>#REF!</v>
      </c>
      <c r="AT12" t="e">
        <f>AND(OUTPUT!#REF!,"AAAAAFv3/S0=")</f>
        <v>#REF!</v>
      </c>
      <c r="AU12" t="e">
        <f>AND(OUTPUT!#REF!,"AAAAAFv3/S4=")</f>
        <v>#REF!</v>
      </c>
      <c r="AV12" t="e">
        <f>AND(OUTPUT!#REF!,"AAAAAFv3/S8=")</f>
        <v>#REF!</v>
      </c>
      <c r="AW12" t="e">
        <f>AND(OUTPUT!#REF!,"AAAAAFv3/TA=")</f>
        <v>#REF!</v>
      </c>
      <c r="AX12" t="e">
        <f>AND(OUTPUT!#REF!,"AAAAAFv3/TE=")</f>
        <v>#REF!</v>
      </c>
      <c r="AY12" t="e">
        <f>AND(OUTPUT!#REF!,"AAAAAFv3/TI=")</f>
        <v>#REF!</v>
      </c>
      <c r="AZ12">
        <f>IF(OUTPUT!178:178,"AAAAAFv3/TM=",0)</f>
        <v>0</v>
      </c>
      <c r="BA12" t="e">
        <f>AND(OUTPUT!C183,"AAAAAFv3/TQ=")</f>
        <v>#VALUE!</v>
      </c>
      <c r="BB12" t="e">
        <f>AND(OUTPUT!D182,"AAAAAFv3/TU=")</f>
        <v>#VALUE!</v>
      </c>
      <c r="BC12" t="e">
        <f>AND(OUTPUT!E183,"AAAAAFv3/TY=")</f>
        <v>#VALUE!</v>
      </c>
      <c r="BD12" t="e">
        <f>AND(OUTPUT!F183,"AAAAAFv3/Tc=")</f>
        <v>#VALUE!</v>
      </c>
      <c r="BE12" t="e">
        <f>AND(OUTPUT!G183,"AAAAAFv3/Tg=")</f>
        <v>#VALUE!</v>
      </c>
      <c r="BF12" t="e">
        <f>AND(OUTPUT!I178,"AAAAAFv3/Tk=")</f>
        <v>#VALUE!</v>
      </c>
      <c r="BG12" t="e">
        <f>AND(OUTPUT!#REF!,"AAAAAFv3/To=")</f>
        <v>#REF!</v>
      </c>
      <c r="BH12" t="e">
        <f>AND(OUTPUT!#REF!,"AAAAAFv3/Ts=")</f>
        <v>#REF!</v>
      </c>
      <c r="BI12" t="e">
        <f>AND(OUTPUT!#REF!,"AAAAAFv3/Tw=")</f>
        <v>#REF!</v>
      </c>
      <c r="BJ12" t="e">
        <f>AND(OUTPUT!#REF!,"AAAAAFv3/T0=")</f>
        <v>#REF!</v>
      </c>
      <c r="BK12" t="e">
        <f>AND(OUTPUT!#REF!,"AAAAAFv3/T4=")</f>
        <v>#REF!</v>
      </c>
      <c r="BL12" t="e">
        <f>AND(OUTPUT!#REF!,"AAAAAFv3/T8=")</f>
        <v>#REF!</v>
      </c>
      <c r="BM12" t="e">
        <f>AND(OUTPUT!#REF!,"AAAAAFv3/UA=")</f>
        <v>#REF!</v>
      </c>
      <c r="BN12">
        <f>IF(OUTPUT!179:179,"AAAAAFv3/UE=",0)</f>
        <v>0</v>
      </c>
      <c r="BO12" t="e">
        <f>AND(OUTPUT!C184,"AAAAAFv3/UI=")</f>
        <v>#VALUE!</v>
      </c>
      <c r="BP12" t="e">
        <f>AND(OUTPUT!D183,"AAAAAFv3/UM=")</f>
        <v>#VALUE!</v>
      </c>
      <c r="BQ12" t="e">
        <f>AND(OUTPUT!E184,"AAAAAFv3/UQ=")</f>
        <v>#VALUE!</v>
      </c>
      <c r="BR12" t="e">
        <f>AND(OUTPUT!F184,"AAAAAFv3/UU=")</f>
        <v>#VALUE!</v>
      </c>
      <c r="BS12" t="e">
        <f>AND(OUTPUT!G184,"AAAAAFv3/UY=")</f>
        <v>#VALUE!</v>
      </c>
      <c r="BT12" t="e">
        <f>AND(OUTPUT!I179,"AAAAAFv3/Uc=")</f>
        <v>#VALUE!</v>
      </c>
      <c r="BU12" t="e">
        <f>AND(OUTPUT!#REF!,"AAAAAFv3/Ug=")</f>
        <v>#REF!</v>
      </c>
      <c r="BV12" t="e">
        <f>AND(OUTPUT!#REF!,"AAAAAFv3/Uk=")</f>
        <v>#REF!</v>
      </c>
      <c r="BW12" t="e">
        <f>AND(OUTPUT!#REF!,"AAAAAFv3/Uo=")</f>
        <v>#REF!</v>
      </c>
      <c r="BX12" t="e">
        <f>AND(OUTPUT!#REF!,"AAAAAFv3/Us=")</f>
        <v>#REF!</v>
      </c>
      <c r="BY12" t="e">
        <f>AND(OUTPUT!#REF!,"AAAAAFv3/Uw=")</f>
        <v>#REF!</v>
      </c>
      <c r="BZ12" t="e">
        <f>AND(OUTPUT!#REF!,"AAAAAFv3/U0=")</f>
        <v>#REF!</v>
      </c>
      <c r="CA12" t="e">
        <f>AND(OUTPUT!#REF!,"AAAAAFv3/U4=")</f>
        <v>#REF!</v>
      </c>
      <c r="CB12">
        <f>IF(OUTPUT!180:180,"AAAAAFv3/U8=",0)</f>
        <v>0</v>
      </c>
      <c r="CC12" t="e">
        <f>AND(OUTPUT!C185,"AAAAAFv3/VA=")</f>
        <v>#VALUE!</v>
      </c>
      <c r="CD12" t="e">
        <f>AND(OUTPUT!D184,"AAAAAFv3/VE=")</f>
        <v>#VALUE!</v>
      </c>
      <c r="CE12" t="e">
        <f>AND(OUTPUT!E185,"AAAAAFv3/VI=")</f>
        <v>#VALUE!</v>
      </c>
      <c r="CF12" t="e">
        <f>AND(OUTPUT!F185,"AAAAAFv3/VM=")</f>
        <v>#VALUE!</v>
      </c>
      <c r="CG12" t="e">
        <f>AND(OUTPUT!G185,"AAAAAFv3/VQ=")</f>
        <v>#VALUE!</v>
      </c>
      <c r="CH12" t="e">
        <f>AND(OUTPUT!I180,"AAAAAFv3/VU=")</f>
        <v>#VALUE!</v>
      </c>
      <c r="CI12" t="e">
        <f>AND(OUTPUT!#REF!,"AAAAAFv3/VY=")</f>
        <v>#REF!</v>
      </c>
      <c r="CJ12" t="e">
        <f>AND(OUTPUT!#REF!,"AAAAAFv3/Vc=")</f>
        <v>#REF!</v>
      </c>
      <c r="CK12" t="e">
        <f>AND(OUTPUT!#REF!,"AAAAAFv3/Vg=")</f>
        <v>#REF!</v>
      </c>
      <c r="CL12" t="e">
        <f>AND(OUTPUT!#REF!,"AAAAAFv3/Vk=")</f>
        <v>#REF!</v>
      </c>
      <c r="CM12" t="e">
        <f>AND(OUTPUT!#REF!,"AAAAAFv3/Vo=")</f>
        <v>#REF!</v>
      </c>
      <c r="CN12" t="e">
        <f>AND(OUTPUT!#REF!,"AAAAAFv3/Vs=")</f>
        <v>#REF!</v>
      </c>
      <c r="CO12" t="e">
        <f>AND(OUTPUT!#REF!,"AAAAAFv3/Vw=")</f>
        <v>#REF!</v>
      </c>
      <c r="CP12">
        <f>IF(OUTPUT!181:181,"AAAAAFv3/V0=",0)</f>
        <v>0</v>
      </c>
      <c r="CQ12" t="e">
        <f>AND(OUTPUT!C186,"AAAAAFv3/V4=")</f>
        <v>#VALUE!</v>
      </c>
      <c r="CR12" t="e">
        <f>AND(OUTPUT!D185,"AAAAAFv3/V8=")</f>
        <v>#VALUE!</v>
      </c>
      <c r="CS12" t="e">
        <f>AND(OUTPUT!E186,"AAAAAFv3/WA=")</f>
        <v>#VALUE!</v>
      </c>
      <c r="CT12" t="e">
        <f>AND(OUTPUT!F186,"AAAAAFv3/WE=")</f>
        <v>#VALUE!</v>
      </c>
      <c r="CU12" t="e">
        <f>AND(OUTPUT!G186,"AAAAAFv3/WI=")</f>
        <v>#VALUE!</v>
      </c>
      <c r="CV12" t="e">
        <f>AND(OUTPUT!I181,"AAAAAFv3/WM=")</f>
        <v>#VALUE!</v>
      </c>
      <c r="CW12" t="e">
        <f>AND(OUTPUT!#REF!,"AAAAAFv3/WQ=")</f>
        <v>#REF!</v>
      </c>
      <c r="CX12" t="e">
        <f>AND(OUTPUT!#REF!,"AAAAAFv3/WU=")</f>
        <v>#REF!</v>
      </c>
      <c r="CY12" t="e">
        <f>AND(OUTPUT!#REF!,"AAAAAFv3/WY=")</f>
        <v>#REF!</v>
      </c>
      <c r="CZ12" t="e">
        <f>AND(OUTPUT!#REF!,"AAAAAFv3/Wc=")</f>
        <v>#REF!</v>
      </c>
      <c r="DA12" t="e">
        <f>AND(OUTPUT!#REF!,"AAAAAFv3/Wg=")</f>
        <v>#REF!</v>
      </c>
      <c r="DB12" t="e">
        <f>AND(OUTPUT!#REF!,"AAAAAFv3/Wk=")</f>
        <v>#REF!</v>
      </c>
      <c r="DC12" t="e">
        <f>AND(OUTPUT!#REF!,"AAAAAFv3/Wo=")</f>
        <v>#REF!</v>
      </c>
      <c r="DD12">
        <f>IF(OUTPUT!182:182,"AAAAAFv3/Ws=",0)</f>
        <v>0</v>
      </c>
      <c r="DE12" t="e">
        <f>AND(OUTPUT!C187,"AAAAAFv3/Ww=")</f>
        <v>#VALUE!</v>
      </c>
      <c r="DF12" t="e">
        <f>AND(OUTPUT!D186,"AAAAAFv3/W0=")</f>
        <v>#VALUE!</v>
      </c>
      <c r="DG12" t="e">
        <f>AND(OUTPUT!E187,"AAAAAFv3/W4=")</f>
        <v>#VALUE!</v>
      </c>
      <c r="DH12" t="e">
        <f>AND(OUTPUT!F187,"AAAAAFv3/W8=")</f>
        <v>#VALUE!</v>
      </c>
      <c r="DI12" t="e">
        <f>AND(OUTPUT!G187,"AAAAAFv3/XA=")</f>
        <v>#VALUE!</v>
      </c>
      <c r="DJ12" t="e">
        <f>AND(OUTPUT!I182,"AAAAAFv3/XE=")</f>
        <v>#VALUE!</v>
      </c>
      <c r="DK12" t="e">
        <f>AND(OUTPUT!#REF!,"AAAAAFv3/XI=")</f>
        <v>#REF!</v>
      </c>
      <c r="DL12" t="e">
        <f>AND(OUTPUT!#REF!,"AAAAAFv3/XM=")</f>
        <v>#REF!</v>
      </c>
      <c r="DM12" t="e">
        <f>AND(OUTPUT!#REF!,"AAAAAFv3/XQ=")</f>
        <v>#REF!</v>
      </c>
      <c r="DN12" t="e">
        <f>AND(OUTPUT!#REF!,"AAAAAFv3/XU=")</f>
        <v>#REF!</v>
      </c>
      <c r="DO12" t="e">
        <f>AND(OUTPUT!#REF!,"AAAAAFv3/XY=")</f>
        <v>#REF!</v>
      </c>
      <c r="DP12" t="e">
        <f>AND(OUTPUT!#REF!,"AAAAAFv3/Xc=")</f>
        <v>#REF!</v>
      </c>
      <c r="DQ12" t="e">
        <f>AND(OUTPUT!#REF!,"AAAAAFv3/Xg=")</f>
        <v>#REF!</v>
      </c>
      <c r="DR12">
        <f>IF(OUTPUT!183:183,"AAAAAFv3/Xk=",0)</f>
        <v>0</v>
      </c>
      <c r="DS12" t="e">
        <f>AND(OUTPUT!C188,"AAAAAFv3/Xo=")</f>
        <v>#VALUE!</v>
      </c>
      <c r="DT12" t="e">
        <f>AND(OUTPUT!D187,"AAAAAFv3/Xs=")</f>
        <v>#VALUE!</v>
      </c>
      <c r="DU12" t="e">
        <f>AND(OUTPUT!E188,"AAAAAFv3/Xw=")</f>
        <v>#VALUE!</v>
      </c>
      <c r="DV12" t="e">
        <f>AND(OUTPUT!F188,"AAAAAFv3/X0=")</f>
        <v>#VALUE!</v>
      </c>
      <c r="DW12" t="e">
        <f>AND(OUTPUT!G188,"AAAAAFv3/X4=")</f>
        <v>#VALUE!</v>
      </c>
      <c r="DX12" t="e">
        <f>AND(OUTPUT!I183,"AAAAAFv3/X8=")</f>
        <v>#VALUE!</v>
      </c>
      <c r="DY12" t="e">
        <f>AND(OUTPUT!#REF!,"AAAAAFv3/YA=")</f>
        <v>#REF!</v>
      </c>
      <c r="DZ12" t="e">
        <f>AND(OUTPUT!#REF!,"AAAAAFv3/YE=")</f>
        <v>#REF!</v>
      </c>
      <c r="EA12" t="e">
        <f>AND(OUTPUT!#REF!,"AAAAAFv3/YI=")</f>
        <v>#REF!</v>
      </c>
      <c r="EB12" t="e">
        <f>AND(OUTPUT!#REF!,"AAAAAFv3/YM=")</f>
        <v>#REF!</v>
      </c>
      <c r="EC12" t="e">
        <f>AND(OUTPUT!#REF!,"AAAAAFv3/YQ=")</f>
        <v>#REF!</v>
      </c>
      <c r="ED12" t="e">
        <f>AND(OUTPUT!#REF!,"AAAAAFv3/YU=")</f>
        <v>#REF!</v>
      </c>
      <c r="EE12" t="e">
        <f>AND(OUTPUT!#REF!,"AAAAAFv3/YY=")</f>
        <v>#REF!</v>
      </c>
      <c r="EF12">
        <f>IF(OUTPUT!184:184,"AAAAAFv3/Yc=",0)</f>
        <v>0</v>
      </c>
      <c r="EG12" t="e">
        <f>AND(OUTPUT!C189,"AAAAAFv3/Yg=")</f>
        <v>#VALUE!</v>
      </c>
      <c r="EH12" t="e">
        <f>AND(OUTPUT!D188,"AAAAAFv3/Yk=")</f>
        <v>#VALUE!</v>
      </c>
      <c r="EI12" t="e">
        <f>AND(OUTPUT!E189,"AAAAAFv3/Yo=")</f>
        <v>#VALUE!</v>
      </c>
      <c r="EJ12" t="e">
        <f>AND(OUTPUT!F189,"AAAAAFv3/Ys=")</f>
        <v>#VALUE!</v>
      </c>
      <c r="EK12" t="e">
        <f>AND(OUTPUT!G189,"AAAAAFv3/Yw=")</f>
        <v>#VALUE!</v>
      </c>
      <c r="EL12" t="e">
        <f>AND(OUTPUT!I184,"AAAAAFv3/Y0=")</f>
        <v>#VALUE!</v>
      </c>
      <c r="EM12" t="e">
        <f>AND(OUTPUT!#REF!,"AAAAAFv3/Y4=")</f>
        <v>#REF!</v>
      </c>
      <c r="EN12" t="e">
        <f>AND(OUTPUT!#REF!,"AAAAAFv3/Y8=")</f>
        <v>#REF!</v>
      </c>
      <c r="EO12" t="e">
        <f>AND(OUTPUT!#REF!,"AAAAAFv3/ZA=")</f>
        <v>#REF!</v>
      </c>
      <c r="EP12" t="e">
        <f>AND(OUTPUT!#REF!,"AAAAAFv3/ZE=")</f>
        <v>#REF!</v>
      </c>
      <c r="EQ12" t="e">
        <f>AND(OUTPUT!#REF!,"AAAAAFv3/ZI=")</f>
        <v>#REF!</v>
      </c>
      <c r="ER12" t="e">
        <f>AND(OUTPUT!#REF!,"AAAAAFv3/ZM=")</f>
        <v>#REF!</v>
      </c>
      <c r="ES12" t="e">
        <f>AND(OUTPUT!#REF!,"AAAAAFv3/ZQ=")</f>
        <v>#REF!</v>
      </c>
      <c r="ET12">
        <f>IF(OUTPUT!185:185,"AAAAAFv3/ZU=",0)</f>
        <v>0</v>
      </c>
      <c r="EU12" t="e">
        <f>AND(OUTPUT!C190,"AAAAAFv3/ZY=")</f>
        <v>#VALUE!</v>
      </c>
      <c r="EV12" t="e">
        <f>AND(OUTPUT!D189,"AAAAAFv3/Zc=")</f>
        <v>#VALUE!</v>
      </c>
      <c r="EW12" t="e">
        <f>AND(OUTPUT!E190,"AAAAAFv3/Zg=")</f>
        <v>#VALUE!</v>
      </c>
      <c r="EX12" t="e">
        <f>AND(OUTPUT!F190,"AAAAAFv3/Zk=")</f>
        <v>#VALUE!</v>
      </c>
      <c r="EY12" t="e">
        <f>AND(OUTPUT!G190,"AAAAAFv3/Zo=")</f>
        <v>#VALUE!</v>
      </c>
      <c r="EZ12" t="e">
        <f>AND(OUTPUT!I185,"AAAAAFv3/Zs=")</f>
        <v>#VALUE!</v>
      </c>
      <c r="FA12" t="e">
        <f>AND(OUTPUT!#REF!,"AAAAAFv3/Zw=")</f>
        <v>#REF!</v>
      </c>
      <c r="FB12" t="e">
        <f>AND(OUTPUT!#REF!,"AAAAAFv3/Z0=")</f>
        <v>#REF!</v>
      </c>
      <c r="FC12" t="e">
        <f>AND(OUTPUT!#REF!,"AAAAAFv3/Z4=")</f>
        <v>#REF!</v>
      </c>
      <c r="FD12" t="e">
        <f>AND(OUTPUT!#REF!,"AAAAAFv3/Z8=")</f>
        <v>#REF!</v>
      </c>
      <c r="FE12" t="e">
        <f>AND(OUTPUT!#REF!,"AAAAAFv3/aA=")</f>
        <v>#REF!</v>
      </c>
      <c r="FF12" t="e">
        <f>AND(OUTPUT!#REF!,"AAAAAFv3/aE=")</f>
        <v>#REF!</v>
      </c>
      <c r="FG12" t="e">
        <f>AND(OUTPUT!#REF!,"AAAAAFv3/aI=")</f>
        <v>#REF!</v>
      </c>
      <c r="FH12">
        <f>IF(OUTPUT!186:186,"AAAAAFv3/aM=",0)</f>
        <v>0</v>
      </c>
      <c r="FI12" t="e">
        <f>AND(OUTPUT!C204,"AAAAAFv3/aQ=")</f>
        <v>#VALUE!</v>
      </c>
      <c r="FJ12" t="e">
        <f>AND(OUTPUT!D203,"AAAAAFv3/aU=")</f>
        <v>#VALUE!</v>
      </c>
      <c r="FK12" t="e">
        <f>AND(OUTPUT!E204,"AAAAAFv3/aY=")</f>
        <v>#VALUE!</v>
      </c>
      <c r="FL12" t="e">
        <f>AND(OUTPUT!F204,"AAAAAFv3/ac=")</f>
        <v>#VALUE!</v>
      </c>
      <c r="FM12" t="e">
        <f>AND(OUTPUT!G204,"AAAAAFv3/ag=")</f>
        <v>#VALUE!</v>
      </c>
      <c r="FN12" t="e">
        <f>AND(OUTPUT!I186,"AAAAAFv3/ak=")</f>
        <v>#VALUE!</v>
      </c>
      <c r="FO12" t="e">
        <f>AND(OUTPUT!#REF!,"AAAAAFv3/ao=")</f>
        <v>#REF!</v>
      </c>
      <c r="FP12" t="e">
        <f>AND(OUTPUT!#REF!,"AAAAAFv3/as=")</f>
        <v>#REF!</v>
      </c>
      <c r="FQ12" t="e">
        <f>AND(OUTPUT!#REF!,"AAAAAFv3/aw=")</f>
        <v>#REF!</v>
      </c>
      <c r="FR12" t="e">
        <f>AND(OUTPUT!#REF!,"AAAAAFv3/a0=")</f>
        <v>#REF!</v>
      </c>
      <c r="FS12" t="e">
        <f>AND(OUTPUT!#REF!,"AAAAAFv3/a4=")</f>
        <v>#REF!</v>
      </c>
      <c r="FT12" t="e">
        <f>AND(OUTPUT!#REF!,"AAAAAFv3/a8=")</f>
        <v>#REF!</v>
      </c>
      <c r="FU12" t="e">
        <f>AND(OUTPUT!#REF!,"AAAAAFv3/bA=")</f>
        <v>#REF!</v>
      </c>
      <c r="FV12">
        <f>IF(OUTPUT!187:187,"AAAAAFv3/bE=",0)</f>
        <v>0</v>
      </c>
      <c r="FW12" t="e">
        <f>AND(OUTPUT!C205,"AAAAAFv3/bI=")</f>
        <v>#VALUE!</v>
      </c>
      <c r="FX12" t="e">
        <f>AND(OUTPUT!D204,"AAAAAFv3/bM=")</f>
        <v>#VALUE!</v>
      </c>
      <c r="FY12" t="e">
        <f>AND(OUTPUT!E205,"AAAAAFv3/bQ=")</f>
        <v>#VALUE!</v>
      </c>
      <c r="FZ12" t="e">
        <f>AND(OUTPUT!F205,"AAAAAFv3/bU=")</f>
        <v>#VALUE!</v>
      </c>
      <c r="GA12" t="e">
        <f>AND(OUTPUT!G205,"AAAAAFv3/bY=")</f>
        <v>#VALUE!</v>
      </c>
      <c r="GB12" t="e">
        <f>AND(OUTPUT!I187,"AAAAAFv3/bc=")</f>
        <v>#VALUE!</v>
      </c>
      <c r="GC12" t="e">
        <f>AND(OUTPUT!#REF!,"AAAAAFv3/bg=")</f>
        <v>#REF!</v>
      </c>
      <c r="GD12" t="e">
        <f>AND(OUTPUT!#REF!,"AAAAAFv3/bk=")</f>
        <v>#REF!</v>
      </c>
      <c r="GE12" t="e">
        <f>AND(OUTPUT!#REF!,"AAAAAFv3/bo=")</f>
        <v>#REF!</v>
      </c>
      <c r="GF12" t="e">
        <f>AND(OUTPUT!#REF!,"AAAAAFv3/bs=")</f>
        <v>#REF!</v>
      </c>
      <c r="GG12" t="e">
        <f>AND(OUTPUT!#REF!,"AAAAAFv3/bw=")</f>
        <v>#REF!</v>
      </c>
      <c r="GH12" t="e">
        <f>AND(OUTPUT!#REF!,"AAAAAFv3/b0=")</f>
        <v>#REF!</v>
      </c>
      <c r="GI12" t="e">
        <f>AND(OUTPUT!#REF!,"AAAAAFv3/b4=")</f>
        <v>#REF!</v>
      </c>
      <c r="GJ12">
        <f>IF(OUTPUT!188:188,"AAAAAFv3/b8=",0)</f>
        <v>0</v>
      </c>
      <c r="GK12" t="e">
        <f>AND(OUTPUT!C206,"AAAAAFv3/cA=")</f>
        <v>#VALUE!</v>
      </c>
      <c r="GL12" t="e">
        <f>AND(OUTPUT!D205,"AAAAAFv3/cE=")</f>
        <v>#VALUE!</v>
      </c>
      <c r="GM12" t="e">
        <f>AND(OUTPUT!E206,"AAAAAFv3/cI=")</f>
        <v>#VALUE!</v>
      </c>
      <c r="GN12" t="e">
        <f>AND(OUTPUT!F206,"AAAAAFv3/cM=")</f>
        <v>#VALUE!</v>
      </c>
      <c r="GO12" t="e">
        <f>AND(OUTPUT!G206,"AAAAAFv3/cQ=")</f>
        <v>#VALUE!</v>
      </c>
      <c r="GP12" t="e">
        <f>AND(OUTPUT!I188,"AAAAAFv3/cU=")</f>
        <v>#VALUE!</v>
      </c>
      <c r="GQ12" t="e">
        <f>AND(OUTPUT!#REF!,"AAAAAFv3/cY=")</f>
        <v>#REF!</v>
      </c>
      <c r="GR12" t="e">
        <f>AND(OUTPUT!#REF!,"AAAAAFv3/cc=")</f>
        <v>#REF!</v>
      </c>
      <c r="GS12" t="e">
        <f>AND(OUTPUT!#REF!,"AAAAAFv3/cg=")</f>
        <v>#REF!</v>
      </c>
      <c r="GT12" t="e">
        <f>AND(OUTPUT!#REF!,"AAAAAFv3/ck=")</f>
        <v>#REF!</v>
      </c>
      <c r="GU12" t="e">
        <f>AND(OUTPUT!#REF!,"AAAAAFv3/co=")</f>
        <v>#REF!</v>
      </c>
      <c r="GV12" t="e">
        <f>AND(OUTPUT!#REF!,"AAAAAFv3/cs=")</f>
        <v>#REF!</v>
      </c>
      <c r="GW12" t="e">
        <f>AND(OUTPUT!#REF!,"AAAAAFv3/cw=")</f>
        <v>#REF!</v>
      </c>
      <c r="GX12">
        <f>IF(OUTPUT!189:189,"AAAAAFv3/c0=",0)</f>
        <v>0</v>
      </c>
      <c r="GY12" t="e">
        <f>AND(OUTPUT!C207,"AAAAAFv3/c4=")</f>
        <v>#VALUE!</v>
      </c>
      <c r="GZ12" t="e">
        <f>AND(OUTPUT!D206,"AAAAAFv3/c8=")</f>
        <v>#VALUE!</v>
      </c>
      <c r="HA12" t="e">
        <f>AND(OUTPUT!E207,"AAAAAFv3/dA=")</f>
        <v>#VALUE!</v>
      </c>
      <c r="HB12" t="e">
        <f>AND(OUTPUT!F207,"AAAAAFv3/dE=")</f>
        <v>#VALUE!</v>
      </c>
      <c r="HC12" t="e">
        <f>AND(OUTPUT!G207,"AAAAAFv3/dI=")</f>
        <v>#VALUE!</v>
      </c>
      <c r="HD12" t="e">
        <f>AND(OUTPUT!I189,"AAAAAFv3/dM=")</f>
        <v>#VALUE!</v>
      </c>
      <c r="HE12" t="e">
        <f>AND(OUTPUT!#REF!,"AAAAAFv3/dQ=")</f>
        <v>#REF!</v>
      </c>
      <c r="HF12" t="e">
        <f>AND(OUTPUT!#REF!,"AAAAAFv3/dU=")</f>
        <v>#REF!</v>
      </c>
      <c r="HG12" t="e">
        <f>AND(OUTPUT!#REF!,"AAAAAFv3/dY=")</f>
        <v>#REF!</v>
      </c>
      <c r="HH12" t="e">
        <f>AND(OUTPUT!#REF!,"AAAAAFv3/dc=")</f>
        <v>#REF!</v>
      </c>
      <c r="HI12" t="e">
        <f>AND(OUTPUT!#REF!,"AAAAAFv3/dg=")</f>
        <v>#REF!</v>
      </c>
      <c r="HJ12" t="e">
        <f>AND(OUTPUT!#REF!,"AAAAAFv3/dk=")</f>
        <v>#REF!</v>
      </c>
      <c r="HK12" t="e">
        <f>AND(OUTPUT!#REF!,"AAAAAFv3/do=")</f>
        <v>#REF!</v>
      </c>
      <c r="HL12">
        <f>IF(OUTPUT!193:193,"AAAAAFv3/ds=",0)</f>
        <v>0</v>
      </c>
      <c r="HM12" t="e">
        <f>AND(OUTPUT!C208,"AAAAAFv3/dw=")</f>
        <v>#VALUE!</v>
      </c>
      <c r="HN12" t="e">
        <f>AND(OUTPUT!D207,"AAAAAFv3/d0=")</f>
        <v>#VALUE!</v>
      </c>
      <c r="HO12" t="e">
        <f>AND(OUTPUT!E208,"AAAAAFv3/d4=")</f>
        <v>#VALUE!</v>
      </c>
      <c r="HP12" t="e">
        <f>AND(OUTPUT!F208,"AAAAAFv3/d8=")</f>
        <v>#VALUE!</v>
      </c>
      <c r="HQ12" t="e">
        <f>AND(OUTPUT!G208,"AAAAAFv3/eA=")</f>
        <v>#VALUE!</v>
      </c>
      <c r="HR12" t="e">
        <f>AND(OUTPUT!I193,"AAAAAFv3/eE=")</f>
        <v>#VALUE!</v>
      </c>
      <c r="HS12" t="e">
        <f>AND(OUTPUT!#REF!,"AAAAAFv3/eI=")</f>
        <v>#REF!</v>
      </c>
      <c r="HT12" t="e">
        <f>AND(OUTPUT!#REF!,"AAAAAFv3/eM=")</f>
        <v>#REF!</v>
      </c>
      <c r="HU12" t="e">
        <f>AND(OUTPUT!#REF!,"AAAAAFv3/eQ=")</f>
        <v>#REF!</v>
      </c>
      <c r="HV12" t="e">
        <f>AND(OUTPUT!#REF!,"AAAAAFv3/eU=")</f>
        <v>#REF!</v>
      </c>
      <c r="HW12" t="e">
        <f>AND(OUTPUT!#REF!,"AAAAAFv3/eY=")</f>
        <v>#REF!</v>
      </c>
      <c r="HX12" t="e">
        <f>AND(OUTPUT!#REF!,"AAAAAFv3/ec=")</f>
        <v>#REF!</v>
      </c>
      <c r="HY12" t="e">
        <f>AND(OUTPUT!#REF!,"AAAAAFv3/eg=")</f>
        <v>#REF!</v>
      </c>
      <c r="HZ12">
        <f>IF(OUTPUT!194:194,"AAAAAFv3/ek=",0)</f>
        <v>0</v>
      </c>
      <c r="IA12" t="e">
        <f>AND(OUTPUT!C209,"AAAAAFv3/eo=")</f>
        <v>#VALUE!</v>
      </c>
      <c r="IB12" t="e">
        <f>AND(OUTPUT!D208,"AAAAAFv3/es=")</f>
        <v>#VALUE!</v>
      </c>
      <c r="IC12" t="e">
        <f>AND(OUTPUT!E209,"AAAAAFv3/ew=")</f>
        <v>#VALUE!</v>
      </c>
      <c r="ID12" t="e">
        <f>AND(OUTPUT!F209,"AAAAAFv3/e0=")</f>
        <v>#VALUE!</v>
      </c>
      <c r="IE12" t="e">
        <f>AND(OUTPUT!G209,"AAAAAFv3/e4=")</f>
        <v>#VALUE!</v>
      </c>
      <c r="IF12" t="e">
        <f>AND(OUTPUT!I194,"AAAAAFv3/e8=")</f>
        <v>#VALUE!</v>
      </c>
      <c r="IG12" t="e">
        <f>AND(OUTPUT!#REF!,"AAAAAFv3/fA=")</f>
        <v>#REF!</v>
      </c>
      <c r="IH12" t="e">
        <f>AND(OUTPUT!#REF!,"AAAAAFv3/fE=")</f>
        <v>#REF!</v>
      </c>
      <c r="II12" t="e">
        <f>AND(OUTPUT!#REF!,"AAAAAFv3/fI=")</f>
        <v>#REF!</v>
      </c>
      <c r="IJ12" t="e">
        <f>AND(OUTPUT!#REF!,"AAAAAFv3/fM=")</f>
        <v>#REF!</v>
      </c>
      <c r="IK12" t="e">
        <f>AND(OUTPUT!#REF!,"AAAAAFv3/fQ=")</f>
        <v>#REF!</v>
      </c>
      <c r="IL12" t="e">
        <f>AND(OUTPUT!#REF!,"AAAAAFv3/fU=")</f>
        <v>#REF!</v>
      </c>
      <c r="IM12" t="e">
        <f>AND(OUTPUT!#REF!,"AAAAAFv3/fY=")</f>
        <v>#REF!</v>
      </c>
      <c r="IN12">
        <f>IF(OUTPUT!195:195,"AAAAAFv3/fc=",0)</f>
        <v>0</v>
      </c>
      <c r="IO12" t="e">
        <f>AND(OUTPUT!C210,"AAAAAFv3/fg=")</f>
        <v>#VALUE!</v>
      </c>
      <c r="IP12" t="e">
        <f>AND(OUTPUT!D209,"AAAAAFv3/fk=")</f>
        <v>#VALUE!</v>
      </c>
      <c r="IQ12" t="e">
        <f>AND(OUTPUT!E210,"AAAAAFv3/fo=")</f>
        <v>#VALUE!</v>
      </c>
      <c r="IR12" t="e">
        <f>AND(OUTPUT!F210,"AAAAAFv3/fs=")</f>
        <v>#VALUE!</v>
      </c>
      <c r="IS12" t="e">
        <f>AND(OUTPUT!G210,"AAAAAFv3/fw=")</f>
        <v>#VALUE!</v>
      </c>
      <c r="IT12" t="e">
        <f>AND(OUTPUT!I195,"AAAAAFv3/f0=")</f>
        <v>#VALUE!</v>
      </c>
      <c r="IU12" t="e">
        <f>AND(OUTPUT!#REF!,"AAAAAFv3/f4=")</f>
        <v>#REF!</v>
      </c>
      <c r="IV12" t="e">
        <f>AND(OUTPUT!#REF!,"AAAAAFv3/f8=")</f>
        <v>#REF!</v>
      </c>
    </row>
    <row r="13" spans="1:256" x14ac:dyDescent="0.2">
      <c r="A13" t="e">
        <f>AND(OUTPUT!#REF!,"AAAAAHVcTgA=")</f>
        <v>#REF!</v>
      </c>
      <c r="B13" t="e">
        <f>AND(OUTPUT!#REF!,"AAAAAHVcTgE=")</f>
        <v>#REF!</v>
      </c>
      <c r="C13" t="e">
        <f>AND(OUTPUT!#REF!,"AAAAAHVcTgI=")</f>
        <v>#REF!</v>
      </c>
      <c r="D13" t="e">
        <f>AND(OUTPUT!#REF!,"AAAAAHVcTgM=")</f>
        <v>#REF!</v>
      </c>
      <c r="E13" t="e">
        <f>AND(OUTPUT!#REF!,"AAAAAHVcTgQ=")</f>
        <v>#REF!</v>
      </c>
      <c r="F13">
        <f>IF(OUTPUT!196:196,"AAAAAHVcTgU=",0)</f>
        <v>0</v>
      </c>
      <c r="G13" t="e">
        <f>AND(OUTPUT!C211,"AAAAAHVcTgY=")</f>
        <v>#VALUE!</v>
      </c>
      <c r="H13" t="e">
        <f>AND(OUTPUT!D210,"AAAAAHVcTgc=")</f>
        <v>#VALUE!</v>
      </c>
      <c r="I13" t="e">
        <f>AND(OUTPUT!E211,"AAAAAHVcTgg=")</f>
        <v>#VALUE!</v>
      </c>
      <c r="J13" t="e">
        <f>AND(OUTPUT!F211,"AAAAAHVcTgk=")</f>
        <v>#VALUE!</v>
      </c>
      <c r="K13" t="e">
        <f>AND(OUTPUT!G211,"AAAAAHVcTgo=")</f>
        <v>#VALUE!</v>
      </c>
      <c r="L13" t="e">
        <f>AND(OUTPUT!I196,"AAAAAHVcTgs=")</f>
        <v>#VALUE!</v>
      </c>
      <c r="M13" t="e">
        <f>AND(OUTPUT!#REF!,"AAAAAHVcTgw=")</f>
        <v>#REF!</v>
      </c>
      <c r="N13" t="e">
        <f>AND(OUTPUT!#REF!,"AAAAAHVcTg0=")</f>
        <v>#REF!</v>
      </c>
      <c r="O13" t="e">
        <f>AND(OUTPUT!#REF!,"AAAAAHVcTg4=")</f>
        <v>#REF!</v>
      </c>
      <c r="P13" t="e">
        <f>AND(OUTPUT!#REF!,"AAAAAHVcTg8=")</f>
        <v>#REF!</v>
      </c>
      <c r="Q13" t="e">
        <f>AND(OUTPUT!#REF!,"AAAAAHVcThA=")</f>
        <v>#REF!</v>
      </c>
      <c r="R13" t="e">
        <f>AND(OUTPUT!#REF!,"AAAAAHVcThE=")</f>
        <v>#REF!</v>
      </c>
      <c r="S13" t="e">
        <f>AND(OUTPUT!#REF!,"AAAAAHVcThI=")</f>
        <v>#REF!</v>
      </c>
      <c r="T13">
        <f>IF(OUTPUT!199:199,"AAAAAHVcThM=",0)</f>
        <v>0</v>
      </c>
      <c r="U13" t="e">
        <f>AND(OUTPUT!C212,"AAAAAHVcThQ=")</f>
        <v>#VALUE!</v>
      </c>
      <c r="V13" t="e">
        <f>AND(OUTPUT!D211,"AAAAAHVcThU=")</f>
        <v>#VALUE!</v>
      </c>
      <c r="W13" t="e">
        <f>AND(OUTPUT!E212,"AAAAAHVcThY=")</f>
        <v>#VALUE!</v>
      </c>
      <c r="X13" t="e">
        <f>AND(OUTPUT!F212,"AAAAAHVcThc=")</f>
        <v>#VALUE!</v>
      </c>
      <c r="Y13" t="e">
        <f>AND(OUTPUT!G212,"AAAAAHVcThg=")</f>
        <v>#VALUE!</v>
      </c>
      <c r="Z13" t="e">
        <f>AND(OUTPUT!I199,"AAAAAHVcThk=")</f>
        <v>#VALUE!</v>
      </c>
      <c r="AA13" t="e">
        <f>AND(OUTPUT!#REF!,"AAAAAHVcTho=")</f>
        <v>#REF!</v>
      </c>
      <c r="AB13" t="e">
        <f>AND(OUTPUT!#REF!,"AAAAAHVcThs=")</f>
        <v>#REF!</v>
      </c>
      <c r="AC13" t="e">
        <f>AND(OUTPUT!#REF!,"AAAAAHVcThw=")</f>
        <v>#REF!</v>
      </c>
      <c r="AD13" t="e">
        <f>AND(OUTPUT!#REF!,"AAAAAHVcTh0=")</f>
        <v>#REF!</v>
      </c>
      <c r="AE13" t="e">
        <f>AND(OUTPUT!#REF!,"AAAAAHVcTh4=")</f>
        <v>#REF!</v>
      </c>
      <c r="AF13" t="e">
        <f>AND(OUTPUT!#REF!,"AAAAAHVcTh8=")</f>
        <v>#REF!</v>
      </c>
      <c r="AG13" t="e">
        <f>AND(OUTPUT!#REF!,"AAAAAHVcTiA=")</f>
        <v>#REF!</v>
      </c>
      <c r="AH13">
        <f>IF(OUTPUT!200:200,"AAAAAHVcTiE=",0)</f>
        <v>0</v>
      </c>
      <c r="AI13" t="e">
        <f>AND(OUTPUT!C213,"AAAAAHVcTiI=")</f>
        <v>#VALUE!</v>
      </c>
      <c r="AJ13" t="e">
        <f>AND(OUTPUT!D212,"AAAAAHVcTiM=")</f>
        <v>#VALUE!</v>
      </c>
      <c r="AK13" t="e">
        <f>AND(OUTPUT!E213,"AAAAAHVcTiQ=")</f>
        <v>#VALUE!</v>
      </c>
      <c r="AL13" t="e">
        <f>AND(OUTPUT!F213,"AAAAAHVcTiU=")</f>
        <v>#VALUE!</v>
      </c>
      <c r="AM13" t="e">
        <f>AND(OUTPUT!G213,"AAAAAHVcTiY=")</f>
        <v>#VALUE!</v>
      </c>
      <c r="AN13" t="e">
        <f>AND(OUTPUT!I200,"AAAAAHVcTic=")</f>
        <v>#VALUE!</v>
      </c>
      <c r="AO13" t="e">
        <f>AND(OUTPUT!#REF!,"AAAAAHVcTig=")</f>
        <v>#REF!</v>
      </c>
      <c r="AP13" t="e">
        <f>AND(OUTPUT!#REF!,"AAAAAHVcTik=")</f>
        <v>#REF!</v>
      </c>
      <c r="AQ13" t="e">
        <f>AND(OUTPUT!#REF!,"AAAAAHVcTio=")</f>
        <v>#REF!</v>
      </c>
      <c r="AR13" t="e">
        <f>AND(OUTPUT!#REF!,"AAAAAHVcTis=")</f>
        <v>#REF!</v>
      </c>
      <c r="AS13" t="e">
        <f>AND(OUTPUT!#REF!,"AAAAAHVcTiw=")</f>
        <v>#REF!</v>
      </c>
      <c r="AT13" t="e">
        <f>AND(OUTPUT!#REF!,"AAAAAHVcTi0=")</f>
        <v>#REF!</v>
      </c>
      <c r="AU13" t="e">
        <f>AND(OUTPUT!#REF!,"AAAAAHVcTi4=")</f>
        <v>#REF!</v>
      </c>
      <c r="AV13">
        <f>IF(OUTPUT!203:203,"AAAAAHVcTi8=",0)</f>
        <v>0</v>
      </c>
      <c r="AW13" t="e">
        <f>AND(OUTPUT!C214,"AAAAAHVcTjA=")</f>
        <v>#VALUE!</v>
      </c>
      <c r="AX13" t="e">
        <f>AND(OUTPUT!D213,"AAAAAHVcTjE=")</f>
        <v>#VALUE!</v>
      </c>
      <c r="AY13" t="e">
        <f>AND(OUTPUT!E214,"AAAAAHVcTjI=")</f>
        <v>#VALUE!</v>
      </c>
      <c r="AZ13" t="e">
        <f>AND(OUTPUT!F214,"AAAAAHVcTjM=")</f>
        <v>#VALUE!</v>
      </c>
      <c r="BA13" t="e">
        <f>AND(OUTPUT!G214,"AAAAAHVcTjQ=")</f>
        <v>#VALUE!</v>
      </c>
      <c r="BB13" t="e">
        <f>AND(OUTPUT!I203,"AAAAAHVcTjU=")</f>
        <v>#VALUE!</v>
      </c>
      <c r="BC13" t="e">
        <f>AND(OUTPUT!#REF!,"AAAAAHVcTjY=")</f>
        <v>#REF!</v>
      </c>
      <c r="BD13" t="e">
        <f>AND(OUTPUT!#REF!,"AAAAAHVcTjc=")</f>
        <v>#REF!</v>
      </c>
      <c r="BE13" t="e">
        <f>AND(OUTPUT!#REF!,"AAAAAHVcTjg=")</f>
        <v>#REF!</v>
      </c>
      <c r="BF13" t="e">
        <f>AND(OUTPUT!#REF!,"AAAAAHVcTjk=")</f>
        <v>#REF!</v>
      </c>
      <c r="BG13" t="e">
        <f>AND(OUTPUT!#REF!,"AAAAAHVcTjo=")</f>
        <v>#REF!</v>
      </c>
      <c r="BH13" t="e">
        <f>AND(OUTPUT!#REF!,"AAAAAHVcTjs=")</f>
        <v>#REF!</v>
      </c>
      <c r="BI13" t="e">
        <f>AND(OUTPUT!#REF!,"AAAAAHVcTjw=")</f>
        <v>#REF!</v>
      </c>
      <c r="BJ13">
        <f>IF(OUTPUT!204:204,"AAAAAHVcTj0=",0)</f>
        <v>0</v>
      </c>
      <c r="BK13" t="e">
        <f>AND(OUTPUT!C215,"AAAAAHVcTj4=")</f>
        <v>#VALUE!</v>
      </c>
      <c r="BL13" t="e">
        <f>AND(OUTPUT!D214,"AAAAAHVcTj8=")</f>
        <v>#VALUE!</v>
      </c>
      <c r="BM13" t="e">
        <f>AND(OUTPUT!E215,"AAAAAHVcTkA=")</f>
        <v>#VALUE!</v>
      </c>
      <c r="BN13" t="e">
        <f>AND(OUTPUT!F215,"AAAAAHVcTkE=")</f>
        <v>#VALUE!</v>
      </c>
      <c r="BO13" t="e">
        <f>AND(OUTPUT!G215,"AAAAAHVcTkI=")</f>
        <v>#VALUE!</v>
      </c>
      <c r="BP13" t="e">
        <f>AND(OUTPUT!I204,"AAAAAHVcTkM=")</f>
        <v>#VALUE!</v>
      </c>
      <c r="BQ13" t="e">
        <f>AND(OUTPUT!#REF!,"AAAAAHVcTkQ=")</f>
        <v>#REF!</v>
      </c>
      <c r="BR13" t="e">
        <f>AND(OUTPUT!#REF!,"AAAAAHVcTkU=")</f>
        <v>#REF!</v>
      </c>
      <c r="BS13" t="e">
        <f>AND(OUTPUT!#REF!,"AAAAAHVcTkY=")</f>
        <v>#REF!</v>
      </c>
      <c r="BT13" t="e">
        <f>AND(OUTPUT!#REF!,"AAAAAHVcTkc=")</f>
        <v>#REF!</v>
      </c>
      <c r="BU13" t="e">
        <f>AND(OUTPUT!#REF!,"AAAAAHVcTkg=")</f>
        <v>#REF!</v>
      </c>
      <c r="BV13" t="e">
        <f>AND(OUTPUT!#REF!,"AAAAAHVcTkk=")</f>
        <v>#REF!</v>
      </c>
      <c r="BW13" t="e">
        <f>AND(OUTPUT!#REF!,"AAAAAHVcTko=")</f>
        <v>#REF!</v>
      </c>
      <c r="BX13">
        <f>IF(OUTPUT!205:205,"AAAAAHVcTks=",0)</f>
        <v>0</v>
      </c>
      <c r="BY13" t="e">
        <f>AND(OUTPUT!C216,"AAAAAHVcTkw=")</f>
        <v>#VALUE!</v>
      </c>
      <c r="BZ13" t="e">
        <f>AND(OUTPUT!D215,"AAAAAHVcTk0=")</f>
        <v>#VALUE!</v>
      </c>
      <c r="CA13" t="e">
        <f>AND(OUTPUT!E216,"AAAAAHVcTk4=")</f>
        <v>#VALUE!</v>
      </c>
      <c r="CB13" t="e">
        <f>AND(OUTPUT!F216,"AAAAAHVcTk8=")</f>
        <v>#VALUE!</v>
      </c>
      <c r="CC13" t="e">
        <f>AND(OUTPUT!G216,"AAAAAHVcTlA=")</f>
        <v>#VALUE!</v>
      </c>
      <c r="CD13" t="e">
        <f>AND(OUTPUT!I205,"AAAAAHVcTlE=")</f>
        <v>#VALUE!</v>
      </c>
      <c r="CE13" t="e">
        <f>AND(OUTPUT!#REF!,"AAAAAHVcTlI=")</f>
        <v>#REF!</v>
      </c>
      <c r="CF13" t="e">
        <f>AND(OUTPUT!#REF!,"AAAAAHVcTlM=")</f>
        <v>#REF!</v>
      </c>
      <c r="CG13" t="e">
        <f>AND(OUTPUT!#REF!,"AAAAAHVcTlQ=")</f>
        <v>#REF!</v>
      </c>
      <c r="CH13" t="e">
        <f>AND(OUTPUT!#REF!,"AAAAAHVcTlU=")</f>
        <v>#REF!</v>
      </c>
      <c r="CI13" t="e">
        <f>AND(OUTPUT!#REF!,"AAAAAHVcTlY=")</f>
        <v>#REF!</v>
      </c>
      <c r="CJ13" t="e">
        <f>AND(OUTPUT!#REF!,"AAAAAHVcTlc=")</f>
        <v>#REF!</v>
      </c>
      <c r="CK13" t="e">
        <f>AND(OUTPUT!#REF!,"AAAAAHVcTlg=")</f>
        <v>#REF!</v>
      </c>
      <c r="CL13">
        <f>IF(OUTPUT!206:206,"AAAAAHVcTlk=",0)</f>
        <v>0</v>
      </c>
      <c r="CM13" t="e">
        <f>AND(OUTPUT!C217,"AAAAAHVcTlo=")</f>
        <v>#VALUE!</v>
      </c>
      <c r="CN13" t="e">
        <f>AND(OUTPUT!D216,"AAAAAHVcTls=")</f>
        <v>#VALUE!</v>
      </c>
      <c r="CO13" t="e">
        <f>AND(OUTPUT!E217,"AAAAAHVcTlw=")</f>
        <v>#VALUE!</v>
      </c>
      <c r="CP13" t="e">
        <f>AND(OUTPUT!F217,"AAAAAHVcTl0=")</f>
        <v>#VALUE!</v>
      </c>
      <c r="CQ13" t="e">
        <f>AND(OUTPUT!G217,"AAAAAHVcTl4=")</f>
        <v>#VALUE!</v>
      </c>
      <c r="CR13" t="e">
        <f>AND(OUTPUT!I206,"AAAAAHVcTl8=")</f>
        <v>#VALUE!</v>
      </c>
      <c r="CS13" t="e">
        <f>AND(OUTPUT!#REF!,"AAAAAHVcTmA=")</f>
        <v>#REF!</v>
      </c>
      <c r="CT13" t="e">
        <f>AND(OUTPUT!#REF!,"AAAAAHVcTmE=")</f>
        <v>#REF!</v>
      </c>
      <c r="CU13" t="e">
        <f>AND(OUTPUT!#REF!,"AAAAAHVcTmI=")</f>
        <v>#REF!</v>
      </c>
      <c r="CV13" t="e">
        <f>AND(OUTPUT!#REF!,"AAAAAHVcTmM=")</f>
        <v>#REF!</v>
      </c>
      <c r="CW13" t="e">
        <f>AND(OUTPUT!#REF!,"AAAAAHVcTmQ=")</f>
        <v>#REF!</v>
      </c>
      <c r="CX13" t="e">
        <f>AND(OUTPUT!#REF!,"AAAAAHVcTmU=")</f>
        <v>#REF!</v>
      </c>
      <c r="CY13" t="e">
        <f>AND(OUTPUT!#REF!,"AAAAAHVcTmY=")</f>
        <v>#REF!</v>
      </c>
      <c r="CZ13">
        <f>IF(OUTPUT!207:207,"AAAAAHVcTmc=",0)</f>
        <v>0</v>
      </c>
      <c r="DA13" t="e">
        <f>AND(OUTPUT!C220,"AAAAAHVcTmg=")</f>
        <v>#VALUE!</v>
      </c>
      <c r="DB13" t="e">
        <f>AND(OUTPUT!D217,"AAAAAHVcTmk=")</f>
        <v>#VALUE!</v>
      </c>
      <c r="DC13" t="e">
        <f>AND(OUTPUT!E220,"AAAAAHVcTmo=")</f>
        <v>#VALUE!</v>
      </c>
      <c r="DD13" t="e">
        <f>AND(OUTPUT!F220,"AAAAAHVcTms=")</f>
        <v>#VALUE!</v>
      </c>
      <c r="DE13" t="e">
        <f>AND(OUTPUT!G220,"AAAAAHVcTmw=")</f>
        <v>#VALUE!</v>
      </c>
      <c r="DF13" t="e">
        <f>AND(OUTPUT!I207,"AAAAAHVcTm0=")</f>
        <v>#VALUE!</v>
      </c>
      <c r="DG13" t="e">
        <f>AND(OUTPUT!#REF!,"AAAAAHVcTm4=")</f>
        <v>#REF!</v>
      </c>
      <c r="DH13" t="e">
        <f>AND(OUTPUT!#REF!,"AAAAAHVcTm8=")</f>
        <v>#REF!</v>
      </c>
      <c r="DI13" t="e">
        <f>AND(OUTPUT!#REF!,"AAAAAHVcTnA=")</f>
        <v>#REF!</v>
      </c>
      <c r="DJ13" t="e">
        <f>AND(OUTPUT!#REF!,"AAAAAHVcTnE=")</f>
        <v>#REF!</v>
      </c>
      <c r="DK13" t="e">
        <f>AND(OUTPUT!#REF!,"AAAAAHVcTnI=")</f>
        <v>#REF!</v>
      </c>
      <c r="DL13" t="e">
        <f>AND(OUTPUT!#REF!,"AAAAAHVcTnM=")</f>
        <v>#REF!</v>
      </c>
      <c r="DM13" t="e">
        <f>AND(OUTPUT!#REF!,"AAAAAHVcTnQ=")</f>
        <v>#REF!</v>
      </c>
      <c r="DN13">
        <f>IF(OUTPUT!208:208,"AAAAAHVcTnU=",0)</f>
        <v>0</v>
      </c>
      <c r="DO13" t="e">
        <f>AND(OUTPUT!C221,"AAAAAHVcTnY=")</f>
        <v>#VALUE!</v>
      </c>
      <c r="DP13" t="e">
        <f>AND(OUTPUT!D220,"AAAAAHVcTnc=")</f>
        <v>#VALUE!</v>
      </c>
      <c r="DQ13" t="e">
        <f>AND(OUTPUT!E221,"AAAAAHVcTng=")</f>
        <v>#VALUE!</v>
      </c>
      <c r="DR13" t="e">
        <f>AND(OUTPUT!F221,"AAAAAHVcTnk=")</f>
        <v>#VALUE!</v>
      </c>
      <c r="DS13" t="e">
        <f>AND(OUTPUT!G221,"AAAAAHVcTno=")</f>
        <v>#VALUE!</v>
      </c>
      <c r="DT13" t="e">
        <f>AND(OUTPUT!I208,"AAAAAHVcTns=")</f>
        <v>#VALUE!</v>
      </c>
      <c r="DU13" t="e">
        <f>AND(OUTPUT!#REF!,"AAAAAHVcTnw=")</f>
        <v>#REF!</v>
      </c>
      <c r="DV13" t="e">
        <f>AND(OUTPUT!#REF!,"AAAAAHVcTn0=")</f>
        <v>#REF!</v>
      </c>
      <c r="DW13" t="e">
        <f>AND(OUTPUT!#REF!,"AAAAAHVcTn4=")</f>
        <v>#REF!</v>
      </c>
      <c r="DX13" t="e">
        <f>AND(OUTPUT!#REF!,"AAAAAHVcTn8=")</f>
        <v>#REF!</v>
      </c>
      <c r="DY13" t="e">
        <f>AND(OUTPUT!#REF!,"AAAAAHVcToA=")</f>
        <v>#REF!</v>
      </c>
      <c r="DZ13" t="e">
        <f>AND(OUTPUT!#REF!,"AAAAAHVcToE=")</f>
        <v>#REF!</v>
      </c>
      <c r="EA13" t="e">
        <f>AND(OUTPUT!#REF!,"AAAAAHVcToI=")</f>
        <v>#REF!</v>
      </c>
      <c r="EB13">
        <f>IF(OUTPUT!209:209,"AAAAAHVcToM=",0)</f>
        <v>0</v>
      </c>
      <c r="EC13" t="e">
        <f>AND(OUTPUT!C222,"AAAAAHVcToQ=")</f>
        <v>#VALUE!</v>
      </c>
      <c r="ED13" t="e">
        <f>AND(OUTPUT!D221,"AAAAAHVcToU=")</f>
        <v>#VALUE!</v>
      </c>
      <c r="EE13" t="e">
        <f>AND(OUTPUT!E222,"AAAAAHVcToY=")</f>
        <v>#VALUE!</v>
      </c>
      <c r="EF13" t="e">
        <f>AND(OUTPUT!F222,"AAAAAHVcToc=")</f>
        <v>#VALUE!</v>
      </c>
      <c r="EG13" t="e">
        <f>AND(OUTPUT!G222,"AAAAAHVcTog=")</f>
        <v>#VALUE!</v>
      </c>
      <c r="EH13" t="e">
        <f>AND(OUTPUT!I209,"AAAAAHVcTok=")</f>
        <v>#VALUE!</v>
      </c>
      <c r="EI13" t="e">
        <f>AND(OUTPUT!#REF!,"AAAAAHVcToo=")</f>
        <v>#REF!</v>
      </c>
      <c r="EJ13" t="e">
        <f>AND(OUTPUT!#REF!,"AAAAAHVcTos=")</f>
        <v>#REF!</v>
      </c>
      <c r="EK13" t="e">
        <f>AND(OUTPUT!#REF!,"AAAAAHVcTow=")</f>
        <v>#REF!</v>
      </c>
      <c r="EL13" t="e">
        <f>AND(OUTPUT!#REF!,"AAAAAHVcTo0=")</f>
        <v>#REF!</v>
      </c>
      <c r="EM13" t="e">
        <f>AND(OUTPUT!#REF!,"AAAAAHVcTo4=")</f>
        <v>#REF!</v>
      </c>
      <c r="EN13" t="e">
        <f>AND(OUTPUT!#REF!,"AAAAAHVcTo8=")</f>
        <v>#REF!</v>
      </c>
      <c r="EO13" t="e">
        <f>AND(OUTPUT!#REF!,"AAAAAHVcTpA=")</f>
        <v>#REF!</v>
      </c>
      <c r="EP13">
        <f>IF(OUTPUT!210:210,"AAAAAHVcTpE=",0)</f>
        <v>0</v>
      </c>
      <c r="EQ13" t="e">
        <f>AND(OUTPUT!C223,"AAAAAHVcTpI=")</f>
        <v>#VALUE!</v>
      </c>
      <c r="ER13" t="e">
        <f>AND(OUTPUT!D222,"AAAAAHVcTpM=")</f>
        <v>#VALUE!</v>
      </c>
      <c r="ES13" t="e">
        <f>AND(OUTPUT!E223,"AAAAAHVcTpQ=")</f>
        <v>#VALUE!</v>
      </c>
      <c r="ET13" t="e">
        <f>AND(OUTPUT!F223,"AAAAAHVcTpU=")</f>
        <v>#VALUE!</v>
      </c>
      <c r="EU13" t="e">
        <f>AND(OUTPUT!G223,"AAAAAHVcTpY=")</f>
        <v>#VALUE!</v>
      </c>
      <c r="EV13" t="e">
        <f>AND(OUTPUT!I210,"AAAAAHVcTpc=")</f>
        <v>#VALUE!</v>
      </c>
      <c r="EW13" t="e">
        <f>AND(OUTPUT!#REF!,"AAAAAHVcTpg=")</f>
        <v>#REF!</v>
      </c>
      <c r="EX13" t="e">
        <f>AND(OUTPUT!#REF!,"AAAAAHVcTpk=")</f>
        <v>#REF!</v>
      </c>
      <c r="EY13" t="e">
        <f>AND(OUTPUT!#REF!,"AAAAAHVcTpo=")</f>
        <v>#REF!</v>
      </c>
      <c r="EZ13" t="e">
        <f>AND(OUTPUT!#REF!,"AAAAAHVcTps=")</f>
        <v>#REF!</v>
      </c>
      <c r="FA13" t="e">
        <f>AND(OUTPUT!#REF!,"AAAAAHVcTpw=")</f>
        <v>#REF!</v>
      </c>
      <c r="FB13" t="e">
        <f>AND(OUTPUT!#REF!,"AAAAAHVcTp0=")</f>
        <v>#REF!</v>
      </c>
      <c r="FC13" t="e">
        <f>AND(OUTPUT!#REF!,"AAAAAHVcTp4=")</f>
        <v>#REF!</v>
      </c>
      <c r="FD13">
        <f>IF(OUTPUT!211:211,"AAAAAHVcTp8=",0)</f>
        <v>0</v>
      </c>
      <c r="FE13" t="e">
        <f>AND(OUTPUT!C224,"AAAAAHVcTqA=")</f>
        <v>#VALUE!</v>
      </c>
      <c r="FF13" t="e">
        <f>AND(OUTPUT!D223,"AAAAAHVcTqE=")</f>
        <v>#VALUE!</v>
      </c>
      <c r="FG13" t="e">
        <f>AND(OUTPUT!E224,"AAAAAHVcTqI=")</f>
        <v>#VALUE!</v>
      </c>
      <c r="FH13" t="e">
        <f>AND(OUTPUT!F224,"AAAAAHVcTqM=")</f>
        <v>#VALUE!</v>
      </c>
      <c r="FI13" t="e">
        <f>AND(OUTPUT!G224,"AAAAAHVcTqQ=")</f>
        <v>#VALUE!</v>
      </c>
      <c r="FJ13" t="e">
        <f>AND(OUTPUT!I211,"AAAAAHVcTqU=")</f>
        <v>#VALUE!</v>
      </c>
      <c r="FK13" t="e">
        <f>AND(OUTPUT!#REF!,"AAAAAHVcTqY=")</f>
        <v>#REF!</v>
      </c>
      <c r="FL13" t="e">
        <f>AND(OUTPUT!#REF!,"AAAAAHVcTqc=")</f>
        <v>#REF!</v>
      </c>
      <c r="FM13" t="e">
        <f>AND(OUTPUT!#REF!,"AAAAAHVcTqg=")</f>
        <v>#REF!</v>
      </c>
      <c r="FN13" t="e">
        <f>AND(OUTPUT!#REF!,"AAAAAHVcTqk=")</f>
        <v>#REF!</v>
      </c>
      <c r="FO13" t="e">
        <f>AND(OUTPUT!#REF!,"AAAAAHVcTqo=")</f>
        <v>#REF!</v>
      </c>
      <c r="FP13" t="e">
        <f>AND(OUTPUT!#REF!,"AAAAAHVcTqs=")</f>
        <v>#REF!</v>
      </c>
      <c r="FQ13" t="e">
        <f>AND(OUTPUT!#REF!,"AAAAAHVcTqw=")</f>
        <v>#REF!</v>
      </c>
      <c r="FR13">
        <f>IF(OUTPUT!212:212,"AAAAAHVcTq0=",0)</f>
        <v>0</v>
      </c>
      <c r="FS13" t="e">
        <f>AND(OUTPUT!C225,"AAAAAHVcTq4=")</f>
        <v>#VALUE!</v>
      </c>
      <c r="FT13" t="e">
        <f>AND(OUTPUT!D224,"AAAAAHVcTq8=")</f>
        <v>#VALUE!</v>
      </c>
      <c r="FU13" t="e">
        <f>AND(OUTPUT!E225,"AAAAAHVcTrA=")</f>
        <v>#VALUE!</v>
      </c>
      <c r="FV13" t="e">
        <f>AND(OUTPUT!F225,"AAAAAHVcTrE=")</f>
        <v>#VALUE!</v>
      </c>
      <c r="FW13" t="e">
        <f>AND(OUTPUT!G225,"AAAAAHVcTrI=")</f>
        <v>#VALUE!</v>
      </c>
      <c r="FX13" t="e">
        <f>AND(OUTPUT!I212,"AAAAAHVcTrM=")</f>
        <v>#VALUE!</v>
      </c>
      <c r="FY13" t="e">
        <f>AND(OUTPUT!#REF!,"AAAAAHVcTrQ=")</f>
        <v>#REF!</v>
      </c>
      <c r="FZ13" t="e">
        <f>AND(OUTPUT!#REF!,"AAAAAHVcTrU=")</f>
        <v>#REF!</v>
      </c>
      <c r="GA13" t="e">
        <f>AND(OUTPUT!#REF!,"AAAAAHVcTrY=")</f>
        <v>#REF!</v>
      </c>
      <c r="GB13" t="e">
        <f>AND(OUTPUT!#REF!,"AAAAAHVcTrc=")</f>
        <v>#REF!</v>
      </c>
      <c r="GC13" t="e">
        <f>AND(OUTPUT!#REF!,"AAAAAHVcTrg=")</f>
        <v>#REF!</v>
      </c>
      <c r="GD13" t="e">
        <f>AND(OUTPUT!#REF!,"AAAAAHVcTrk=")</f>
        <v>#REF!</v>
      </c>
      <c r="GE13" t="e">
        <f>AND(OUTPUT!#REF!,"AAAAAHVcTro=")</f>
        <v>#REF!</v>
      </c>
      <c r="GF13">
        <f>IF(OUTPUT!213:213,"AAAAAHVcTrs=",0)</f>
        <v>0</v>
      </c>
      <c r="GG13" t="e">
        <f>AND(OUTPUT!C234,"AAAAAHVcTrw=")</f>
        <v>#VALUE!</v>
      </c>
      <c r="GH13" t="e">
        <f>AND(OUTPUT!D233,"AAAAAHVcTr0=")</f>
        <v>#VALUE!</v>
      </c>
      <c r="GI13" t="e">
        <f>AND(OUTPUT!E234,"AAAAAHVcTr4=")</f>
        <v>#VALUE!</v>
      </c>
      <c r="GJ13" t="e">
        <f>AND(OUTPUT!F234,"AAAAAHVcTr8=")</f>
        <v>#VALUE!</v>
      </c>
      <c r="GK13" t="e">
        <f>AND(OUTPUT!G234,"AAAAAHVcTsA=")</f>
        <v>#VALUE!</v>
      </c>
      <c r="GL13" t="e">
        <f>AND(OUTPUT!I213,"AAAAAHVcTsE=")</f>
        <v>#VALUE!</v>
      </c>
      <c r="GM13" t="e">
        <f>AND(OUTPUT!#REF!,"AAAAAHVcTsI=")</f>
        <v>#REF!</v>
      </c>
      <c r="GN13" t="e">
        <f>AND(OUTPUT!#REF!,"AAAAAHVcTsM=")</f>
        <v>#REF!</v>
      </c>
      <c r="GO13" t="e">
        <f>AND(OUTPUT!#REF!,"AAAAAHVcTsQ=")</f>
        <v>#REF!</v>
      </c>
      <c r="GP13" t="e">
        <f>AND(OUTPUT!#REF!,"AAAAAHVcTsU=")</f>
        <v>#REF!</v>
      </c>
      <c r="GQ13" t="e">
        <f>AND(OUTPUT!#REF!,"AAAAAHVcTsY=")</f>
        <v>#REF!</v>
      </c>
      <c r="GR13" t="e">
        <f>AND(OUTPUT!#REF!,"AAAAAHVcTsc=")</f>
        <v>#REF!</v>
      </c>
      <c r="GS13" t="e">
        <f>AND(OUTPUT!#REF!,"AAAAAHVcTsg=")</f>
        <v>#REF!</v>
      </c>
      <c r="GT13">
        <f>IF(OUTPUT!214:214,"AAAAAHVcTsk=",0)</f>
        <v>0</v>
      </c>
      <c r="GU13" t="e">
        <f>AND(OUTPUT!C235,"AAAAAHVcTso=")</f>
        <v>#VALUE!</v>
      </c>
      <c r="GV13" t="e">
        <f>AND(OUTPUT!D234,"AAAAAHVcTss=")</f>
        <v>#VALUE!</v>
      </c>
      <c r="GW13" t="e">
        <f>AND(OUTPUT!E235,"AAAAAHVcTsw=")</f>
        <v>#VALUE!</v>
      </c>
      <c r="GX13" t="e">
        <f>AND(OUTPUT!F235,"AAAAAHVcTs0=")</f>
        <v>#VALUE!</v>
      </c>
      <c r="GY13" t="e">
        <f>AND(OUTPUT!G235,"AAAAAHVcTs4=")</f>
        <v>#VALUE!</v>
      </c>
      <c r="GZ13" t="e">
        <f>AND(OUTPUT!I214,"AAAAAHVcTs8=")</f>
        <v>#VALUE!</v>
      </c>
      <c r="HA13" t="e">
        <f>AND(OUTPUT!#REF!,"AAAAAHVcTtA=")</f>
        <v>#REF!</v>
      </c>
      <c r="HB13" t="e">
        <f>AND(OUTPUT!#REF!,"AAAAAHVcTtE=")</f>
        <v>#REF!</v>
      </c>
      <c r="HC13" t="e">
        <f>AND(OUTPUT!#REF!,"AAAAAHVcTtI=")</f>
        <v>#REF!</v>
      </c>
      <c r="HD13" t="e">
        <f>AND(OUTPUT!#REF!,"AAAAAHVcTtM=")</f>
        <v>#REF!</v>
      </c>
      <c r="HE13" t="e">
        <f>AND(OUTPUT!#REF!,"AAAAAHVcTtQ=")</f>
        <v>#REF!</v>
      </c>
      <c r="HF13" t="e">
        <f>AND(OUTPUT!#REF!,"AAAAAHVcTtU=")</f>
        <v>#REF!</v>
      </c>
      <c r="HG13" t="e">
        <f>AND(OUTPUT!#REF!,"AAAAAHVcTtY=")</f>
        <v>#REF!</v>
      </c>
      <c r="HH13">
        <f>IF(OUTPUT!215:215,"AAAAAHVcTtc=",0)</f>
        <v>0</v>
      </c>
      <c r="HI13" t="e">
        <f>AND(OUTPUT!C236,"AAAAAHVcTtg=")</f>
        <v>#VALUE!</v>
      </c>
      <c r="HJ13" t="e">
        <f>AND(OUTPUT!D235,"AAAAAHVcTtk=")</f>
        <v>#VALUE!</v>
      </c>
      <c r="HK13" t="e">
        <f>AND(OUTPUT!E236,"AAAAAHVcTto=")</f>
        <v>#VALUE!</v>
      </c>
      <c r="HL13" t="e">
        <f>AND(OUTPUT!F236,"AAAAAHVcTts=")</f>
        <v>#VALUE!</v>
      </c>
      <c r="HM13" t="e">
        <f>AND(OUTPUT!G236,"AAAAAHVcTtw=")</f>
        <v>#VALUE!</v>
      </c>
      <c r="HN13" t="e">
        <f>AND(OUTPUT!I215,"AAAAAHVcTt0=")</f>
        <v>#VALUE!</v>
      </c>
      <c r="HO13" t="e">
        <f>AND(OUTPUT!#REF!,"AAAAAHVcTt4=")</f>
        <v>#REF!</v>
      </c>
      <c r="HP13" t="e">
        <f>AND(OUTPUT!#REF!,"AAAAAHVcTt8=")</f>
        <v>#REF!</v>
      </c>
      <c r="HQ13" t="e">
        <f>AND(OUTPUT!#REF!,"AAAAAHVcTuA=")</f>
        <v>#REF!</v>
      </c>
      <c r="HR13" t="e">
        <f>AND(OUTPUT!#REF!,"AAAAAHVcTuE=")</f>
        <v>#REF!</v>
      </c>
      <c r="HS13" t="e">
        <f>AND(OUTPUT!#REF!,"AAAAAHVcTuI=")</f>
        <v>#REF!</v>
      </c>
      <c r="HT13" t="e">
        <f>AND(OUTPUT!#REF!,"AAAAAHVcTuM=")</f>
        <v>#REF!</v>
      </c>
      <c r="HU13" t="e">
        <f>AND(OUTPUT!#REF!,"AAAAAHVcTuQ=")</f>
        <v>#REF!</v>
      </c>
      <c r="HV13">
        <f>IF(OUTPUT!216:216,"AAAAAHVcTuU=",0)</f>
        <v>0</v>
      </c>
      <c r="HW13" t="e">
        <f>AND(OUTPUT!C237,"AAAAAHVcTuY=")</f>
        <v>#VALUE!</v>
      </c>
      <c r="HX13" t="e">
        <f>AND(OUTPUT!D236,"AAAAAHVcTuc=")</f>
        <v>#VALUE!</v>
      </c>
      <c r="HY13" t="e">
        <f>AND(OUTPUT!E237,"AAAAAHVcTug=")</f>
        <v>#VALUE!</v>
      </c>
      <c r="HZ13" t="e">
        <f>AND(OUTPUT!F237,"AAAAAHVcTuk=")</f>
        <v>#VALUE!</v>
      </c>
      <c r="IA13" t="e">
        <f>AND(OUTPUT!G237,"AAAAAHVcTuo=")</f>
        <v>#VALUE!</v>
      </c>
      <c r="IB13" t="e">
        <f>AND(OUTPUT!I216,"AAAAAHVcTus=")</f>
        <v>#VALUE!</v>
      </c>
      <c r="IC13" t="e">
        <f>AND(OUTPUT!#REF!,"AAAAAHVcTuw=")</f>
        <v>#REF!</v>
      </c>
      <c r="ID13" t="e">
        <f>AND(OUTPUT!#REF!,"AAAAAHVcTu0=")</f>
        <v>#REF!</v>
      </c>
      <c r="IE13" t="e">
        <f>AND(OUTPUT!#REF!,"AAAAAHVcTu4=")</f>
        <v>#REF!</v>
      </c>
      <c r="IF13" t="e">
        <f>AND(OUTPUT!#REF!,"AAAAAHVcTu8=")</f>
        <v>#REF!</v>
      </c>
      <c r="IG13" t="e">
        <f>AND(OUTPUT!#REF!,"AAAAAHVcTvA=")</f>
        <v>#REF!</v>
      </c>
      <c r="IH13" t="e">
        <f>AND(OUTPUT!#REF!,"AAAAAHVcTvE=")</f>
        <v>#REF!</v>
      </c>
      <c r="II13" t="e">
        <f>AND(OUTPUT!#REF!,"AAAAAHVcTvI=")</f>
        <v>#REF!</v>
      </c>
      <c r="IJ13">
        <f>IF(OUTPUT!219:219,"AAAAAHVcTvM=",0)</f>
        <v>0</v>
      </c>
      <c r="IK13" t="e">
        <f>AND(OUTPUT!C238,"AAAAAHVcTvQ=")</f>
        <v>#VALUE!</v>
      </c>
      <c r="IL13" t="e">
        <f>AND(OUTPUT!D237,"AAAAAHVcTvU=")</f>
        <v>#VALUE!</v>
      </c>
      <c r="IM13" t="e">
        <f>AND(OUTPUT!E238,"AAAAAHVcTvY=")</f>
        <v>#VALUE!</v>
      </c>
      <c r="IN13" t="e">
        <f>AND(OUTPUT!F238,"AAAAAHVcTvc=")</f>
        <v>#VALUE!</v>
      </c>
      <c r="IO13" t="e">
        <f>AND(OUTPUT!G238,"AAAAAHVcTvg=")</f>
        <v>#VALUE!</v>
      </c>
      <c r="IP13" t="e">
        <f>AND(OUTPUT!I219,"AAAAAHVcTvk=")</f>
        <v>#VALUE!</v>
      </c>
      <c r="IQ13" t="e">
        <f>AND(OUTPUT!#REF!,"AAAAAHVcTvo=")</f>
        <v>#REF!</v>
      </c>
      <c r="IR13" t="e">
        <f>AND(OUTPUT!#REF!,"AAAAAHVcTvs=")</f>
        <v>#REF!</v>
      </c>
      <c r="IS13" t="e">
        <f>AND(OUTPUT!#REF!,"AAAAAHVcTvw=")</f>
        <v>#REF!</v>
      </c>
      <c r="IT13" t="e">
        <f>AND(OUTPUT!#REF!,"AAAAAHVcTv0=")</f>
        <v>#REF!</v>
      </c>
      <c r="IU13" t="e">
        <f>AND(OUTPUT!#REF!,"AAAAAHVcTv4=")</f>
        <v>#REF!</v>
      </c>
      <c r="IV13" t="e">
        <f>AND(OUTPUT!#REF!,"AAAAAHVcTv8=")</f>
        <v>#REF!</v>
      </c>
    </row>
    <row r="14" spans="1:256" x14ac:dyDescent="0.2">
      <c r="A14" t="e">
        <f>AND(OUTPUT!#REF!,"AAAAADT9nQA=")</f>
        <v>#REF!</v>
      </c>
      <c r="B14">
        <f>IF(OUTPUT!220:220,"AAAAADT9nQE=",0)</f>
        <v>0</v>
      </c>
      <c r="C14" t="e">
        <f>AND(OUTPUT!C239,"AAAAADT9nQI=")</f>
        <v>#VALUE!</v>
      </c>
      <c r="D14" t="e">
        <f>AND(OUTPUT!D238,"AAAAADT9nQM=")</f>
        <v>#VALUE!</v>
      </c>
      <c r="E14" t="e">
        <f>AND(OUTPUT!E239,"AAAAADT9nQQ=")</f>
        <v>#VALUE!</v>
      </c>
      <c r="F14" t="e">
        <f>AND(OUTPUT!F239,"AAAAADT9nQU=")</f>
        <v>#VALUE!</v>
      </c>
      <c r="G14" t="e">
        <f>AND(OUTPUT!G239,"AAAAADT9nQY=")</f>
        <v>#VALUE!</v>
      </c>
      <c r="H14" t="e">
        <f>AND(OUTPUT!I220,"AAAAADT9nQc=")</f>
        <v>#VALUE!</v>
      </c>
      <c r="I14" t="e">
        <f>AND(OUTPUT!#REF!,"AAAAADT9nQg=")</f>
        <v>#REF!</v>
      </c>
      <c r="J14" t="e">
        <f>AND(OUTPUT!#REF!,"AAAAADT9nQk=")</f>
        <v>#REF!</v>
      </c>
      <c r="K14" t="e">
        <f>AND(OUTPUT!#REF!,"AAAAADT9nQo=")</f>
        <v>#REF!</v>
      </c>
      <c r="L14" t="e">
        <f>AND(OUTPUT!#REF!,"AAAAADT9nQs=")</f>
        <v>#REF!</v>
      </c>
      <c r="M14" t="e">
        <f>AND(OUTPUT!#REF!,"AAAAADT9nQw=")</f>
        <v>#REF!</v>
      </c>
      <c r="N14" t="e">
        <f>AND(OUTPUT!#REF!,"AAAAADT9nQ0=")</f>
        <v>#REF!</v>
      </c>
      <c r="O14" t="e">
        <f>AND(OUTPUT!#REF!,"AAAAADT9nQ4=")</f>
        <v>#REF!</v>
      </c>
      <c r="P14">
        <f>IF(OUTPUT!221:221,"AAAAADT9nQ8=",0)</f>
        <v>0</v>
      </c>
      <c r="Q14" t="e">
        <f>AND(OUTPUT!C240,"AAAAADT9nRA=")</f>
        <v>#VALUE!</v>
      </c>
      <c r="R14" t="e">
        <f>AND(OUTPUT!D239,"AAAAADT9nRE=")</f>
        <v>#VALUE!</v>
      </c>
      <c r="S14" t="e">
        <f>AND(OUTPUT!E240,"AAAAADT9nRI=")</f>
        <v>#VALUE!</v>
      </c>
      <c r="T14" t="e">
        <f>AND(OUTPUT!F240,"AAAAADT9nRM=")</f>
        <v>#VALUE!</v>
      </c>
      <c r="U14" t="e">
        <f>AND(OUTPUT!G240,"AAAAADT9nRQ=")</f>
        <v>#VALUE!</v>
      </c>
      <c r="V14" t="e">
        <f>AND(OUTPUT!I221,"AAAAADT9nRU=")</f>
        <v>#VALUE!</v>
      </c>
      <c r="W14" t="e">
        <f>AND(OUTPUT!#REF!,"AAAAADT9nRY=")</f>
        <v>#REF!</v>
      </c>
      <c r="X14" t="e">
        <f>AND(OUTPUT!#REF!,"AAAAADT9nRc=")</f>
        <v>#REF!</v>
      </c>
      <c r="Y14" t="e">
        <f>AND(OUTPUT!#REF!,"AAAAADT9nRg=")</f>
        <v>#REF!</v>
      </c>
      <c r="Z14" t="e">
        <f>AND(OUTPUT!#REF!,"AAAAADT9nRk=")</f>
        <v>#REF!</v>
      </c>
      <c r="AA14" t="e">
        <f>AND(OUTPUT!#REF!,"AAAAADT9nRo=")</f>
        <v>#REF!</v>
      </c>
      <c r="AB14" t="e">
        <f>AND(OUTPUT!#REF!,"AAAAADT9nRs=")</f>
        <v>#REF!</v>
      </c>
      <c r="AC14" t="e">
        <f>AND(OUTPUT!#REF!,"AAAAADT9nRw=")</f>
        <v>#REF!</v>
      </c>
      <c r="AD14">
        <f>IF(OUTPUT!222:222,"AAAAADT9nR0=",0)</f>
        <v>0</v>
      </c>
      <c r="AE14" t="e">
        <f>AND(OUTPUT!C241,"AAAAADT9nR4=")</f>
        <v>#VALUE!</v>
      </c>
      <c r="AF14" t="e">
        <f>AND(OUTPUT!D240,"AAAAADT9nR8=")</f>
        <v>#VALUE!</v>
      </c>
      <c r="AG14" t="e">
        <f>AND(OUTPUT!E241,"AAAAADT9nSA=")</f>
        <v>#VALUE!</v>
      </c>
      <c r="AH14" t="e">
        <f>AND(OUTPUT!F241,"AAAAADT9nSE=")</f>
        <v>#VALUE!</v>
      </c>
      <c r="AI14" t="e">
        <f>AND(OUTPUT!G241,"AAAAADT9nSI=")</f>
        <v>#VALUE!</v>
      </c>
      <c r="AJ14" t="e">
        <f>AND(OUTPUT!I222,"AAAAADT9nSM=")</f>
        <v>#VALUE!</v>
      </c>
      <c r="AK14" t="e">
        <f>AND(OUTPUT!#REF!,"AAAAADT9nSQ=")</f>
        <v>#REF!</v>
      </c>
      <c r="AL14" t="e">
        <f>AND(OUTPUT!#REF!,"AAAAADT9nSU=")</f>
        <v>#REF!</v>
      </c>
      <c r="AM14" t="e">
        <f>AND(OUTPUT!#REF!,"AAAAADT9nSY=")</f>
        <v>#REF!</v>
      </c>
      <c r="AN14" t="e">
        <f>AND(OUTPUT!#REF!,"AAAAADT9nSc=")</f>
        <v>#REF!</v>
      </c>
      <c r="AO14" t="e">
        <f>AND(OUTPUT!#REF!,"AAAAADT9nSg=")</f>
        <v>#REF!</v>
      </c>
      <c r="AP14" t="e">
        <f>AND(OUTPUT!#REF!,"AAAAADT9nSk=")</f>
        <v>#REF!</v>
      </c>
      <c r="AQ14" t="e">
        <f>AND(OUTPUT!#REF!,"AAAAADT9nSo=")</f>
        <v>#REF!</v>
      </c>
      <c r="AR14">
        <f>IF(OUTPUT!223:223,"AAAAADT9nSs=",0)</f>
        <v>0</v>
      </c>
      <c r="AS14" t="e">
        <f>AND(OUTPUT!C242,"AAAAADT9nSw=")</f>
        <v>#VALUE!</v>
      </c>
      <c r="AT14" t="e">
        <f>AND(OUTPUT!D241,"AAAAADT9nS0=")</f>
        <v>#VALUE!</v>
      </c>
      <c r="AU14" t="e">
        <f>AND(OUTPUT!E242,"AAAAADT9nS4=")</f>
        <v>#VALUE!</v>
      </c>
      <c r="AV14" t="e">
        <f>AND(OUTPUT!F242,"AAAAADT9nS8=")</f>
        <v>#VALUE!</v>
      </c>
      <c r="AW14" t="e">
        <f>AND(OUTPUT!G242,"AAAAADT9nTA=")</f>
        <v>#VALUE!</v>
      </c>
      <c r="AX14" t="e">
        <f>AND(OUTPUT!I223,"AAAAADT9nTE=")</f>
        <v>#VALUE!</v>
      </c>
      <c r="AY14" t="e">
        <f>AND(OUTPUT!#REF!,"AAAAADT9nTI=")</f>
        <v>#REF!</v>
      </c>
      <c r="AZ14" t="e">
        <f>AND(OUTPUT!#REF!,"AAAAADT9nTM=")</f>
        <v>#REF!</v>
      </c>
      <c r="BA14" t="e">
        <f>AND(OUTPUT!#REF!,"AAAAADT9nTQ=")</f>
        <v>#REF!</v>
      </c>
      <c r="BB14" t="e">
        <f>AND(OUTPUT!#REF!,"AAAAADT9nTU=")</f>
        <v>#REF!</v>
      </c>
      <c r="BC14" t="e">
        <f>AND(OUTPUT!#REF!,"AAAAADT9nTY=")</f>
        <v>#REF!</v>
      </c>
      <c r="BD14" t="e">
        <f>AND(OUTPUT!#REF!,"AAAAADT9nTc=")</f>
        <v>#REF!</v>
      </c>
      <c r="BE14" t="e">
        <f>AND(OUTPUT!#REF!,"AAAAADT9nTg=")</f>
        <v>#REF!</v>
      </c>
      <c r="BF14">
        <f>IF(OUTPUT!224:224,"AAAAADT9nTk=",0)</f>
        <v>0</v>
      </c>
      <c r="BG14" t="e">
        <f>AND(OUTPUT!C243,"AAAAADT9nTo=")</f>
        <v>#VALUE!</v>
      </c>
      <c r="BH14" t="e">
        <f>AND(OUTPUT!D242,"AAAAADT9nTs=")</f>
        <v>#VALUE!</v>
      </c>
      <c r="BI14" t="e">
        <f>AND(OUTPUT!E243,"AAAAADT9nTw=")</f>
        <v>#VALUE!</v>
      </c>
      <c r="BJ14" t="e">
        <f>AND(OUTPUT!F243,"AAAAADT9nT0=")</f>
        <v>#VALUE!</v>
      </c>
      <c r="BK14" t="e">
        <f>AND(OUTPUT!G243,"AAAAADT9nT4=")</f>
        <v>#VALUE!</v>
      </c>
      <c r="BL14" t="e">
        <f>AND(OUTPUT!I224,"AAAAADT9nT8=")</f>
        <v>#VALUE!</v>
      </c>
      <c r="BM14" t="e">
        <f>AND(OUTPUT!#REF!,"AAAAADT9nUA=")</f>
        <v>#REF!</v>
      </c>
      <c r="BN14" t="e">
        <f>AND(OUTPUT!#REF!,"AAAAADT9nUE=")</f>
        <v>#REF!</v>
      </c>
      <c r="BO14" t="e">
        <f>AND(OUTPUT!#REF!,"AAAAADT9nUI=")</f>
        <v>#REF!</v>
      </c>
      <c r="BP14" t="e">
        <f>AND(OUTPUT!#REF!,"AAAAADT9nUM=")</f>
        <v>#REF!</v>
      </c>
      <c r="BQ14" t="e">
        <f>AND(OUTPUT!#REF!,"AAAAADT9nUQ=")</f>
        <v>#REF!</v>
      </c>
      <c r="BR14" t="e">
        <f>AND(OUTPUT!#REF!,"AAAAADT9nUU=")</f>
        <v>#REF!</v>
      </c>
      <c r="BS14" t="e">
        <f>AND(OUTPUT!#REF!,"AAAAADT9nUY=")</f>
        <v>#REF!</v>
      </c>
      <c r="BT14">
        <f>IF(OUTPUT!227:227,"AAAAADT9nUc=",0)</f>
        <v>0</v>
      </c>
      <c r="BU14" t="e">
        <f>AND(OUTPUT!C244,"AAAAADT9nUg=")</f>
        <v>#VALUE!</v>
      </c>
      <c r="BV14" t="e">
        <f>AND(OUTPUT!D243,"AAAAADT9nUk=")</f>
        <v>#VALUE!</v>
      </c>
      <c r="BW14" t="e">
        <f>AND(OUTPUT!E244,"AAAAADT9nUo=")</f>
        <v>#VALUE!</v>
      </c>
      <c r="BX14" t="e">
        <f>AND(OUTPUT!F244,"AAAAADT9nUs=")</f>
        <v>#VALUE!</v>
      </c>
      <c r="BY14" t="e">
        <f>AND(OUTPUT!G244,"AAAAADT9nUw=")</f>
        <v>#VALUE!</v>
      </c>
      <c r="BZ14" t="e">
        <f>AND(OUTPUT!I227,"AAAAADT9nU0=")</f>
        <v>#VALUE!</v>
      </c>
      <c r="CA14" t="e">
        <f>AND(OUTPUT!#REF!,"AAAAADT9nU4=")</f>
        <v>#REF!</v>
      </c>
      <c r="CB14" t="e">
        <f>AND(OUTPUT!#REF!,"AAAAADT9nU8=")</f>
        <v>#REF!</v>
      </c>
      <c r="CC14" t="e">
        <f>AND(OUTPUT!#REF!,"AAAAADT9nVA=")</f>
        <v>#REF!</v>
      </c>
      <c r="CD14" t="e">
        <f>AND(OUTPUT!#REF!,"AAAAADT9nVE=")</f>
        <v>#REF!</v>
      </c>
      <c r="CE14" t="e">
        <f>AND(OUTPUT!#REF!,"AAAAADT9nVI=")</f>
        <v>#REF!</v>
      </c>
      <c r="CF14" t="e">
        <f>AND(OUTPUT!#REF!,"AAAAADT9nVM=")</f>
        <v>#REF!</v>
      </c>
      <c r="CG14" t="e">
        <f>AND(OUTPUT!#REF!,"AAAAADT9nVQ=")</f>
        <v>#REF!</v>
      </c>
      <c r="CH14">
        <f>IF(OUTPUT!228:228,"AAAAADT9nVU=",0)</f>
        <v>0</v>
      </c>
      <c r="CI14" t="e">
        <f>AND(OUTPUT!C245,"AAAAADT9nVY=")</f>
        <v>#VALUE!</v>
      </c>
      <c r="CJ14" t="e">
        <f>AND(OUTPUT!D244,"AAAAADT9nVc=")</f>
        <v>#VALUE!</v>
      </c>
      <c r="CK14" t="e">
        <f>AND(OUTPUT!E245,"AAAAADT9nVg=")</f>
        <v>#VALUE!</v>
      </c>
      <c r="CL14" t="e">
        <f>AND(OUTPUT!F245,"AAAAADT9nVk=")</f>
        <v>#VALUE!</v>
      </c>
      <c r="CM14" t="e">
        <f>AND(OUTPUT!G245,"AAAAADT9nVo=")</f>
        <v>#VALUE!</v>
      </c>
      <c r="CN14" t="e">
        <f>AND(OUTPUT!I228,"AAAAADT9nVs=")</f>
        <v>#VALUE!</v>
      </c>
      <c r="CO14" t="e">
        <f>AND(OUTPUT!#REF!,"AAAAADT9nVw=")</f>
        <v>#REF!</v>
      </c>
      <c r="CP14" t="e">
        <f>AND(OUTPUT!#REF!,"AAAAADT9nV0=")</f>
        <v>#REF!</v>
      </c>
      <c r="CQ14" t="e">
        <f>AND(OUTPUT!#REF!,"AAAAADT9nV4=")</f>
        <v>#REF!</v>
      </c>
      <c r="CR14" t="e">
        <f>AND(OUTPUT!#REF!,"AAAAADT9nV8=")</f>
        <v>#REF!</v>
      </c>
      <c r="CS14" t="e">
        <f>AND(OUTPUT!#REF!,"AAAAADT9nWA=")</f>
        <v>#REF!</v>
      </c>
      <c r="CT14" t="e">
        <f>AND(OUTPUT!#REF!,"AAAAADT9nWE=")</f>
        <v>#REF!</v>
      </c>
      <c r="CU14" t="e">
        <f>AND(OUTPUT!#REF!,"AAAAADT9nWI=")</f>
        <v>#REF!</v>
      </c>
      <c r="CV14">
        <f>IF(OUTPUT!229:229,"AAAAADT9nWM=",0)</f>
        <v>0</v>
      </c>
      <c r="CW14">
        <f>IF(OUTPUT!B:B,"AAAAADT9nWQ=",0)</f>
        <v>0</v>
      </c>
      <c r="CX14">
        <f>IF(OUTPUT!C:C,"AAAAADT9nWU=",0)</f>
        <v>0</v>
      </c>
      <c r="CY14">
        <f>IF(OUTPUT!D:D,"AAAAADT9nWY=",0)</f>
        <v>0</v>
      </c>
      <c r="CZ14">
        <f>IF(OUTPUT!E:E,"AAAAADT9nWc=",0)</f>
        <v>0</v>
      </c>
      <c r="DA14">
        <f>IF(OUTPUT!F:F,"AAAAADT9nWg=",0)</f>
        <v>0</v>
      </c>
      <c r="DB14">
        <f>IF(OUTPUT!G:G,"AAAAADT9nWk=",0)</f>
        <v>0</v>
      </c>
      <c r="DC14">
        <f>IF(OUTPUT!I:I,"AAAAADT9nWo=",0)</f>
        <v>0</v>
      </c>
      <c r="DD14" t="e">
        <f>IF(OUTPUT!#REF!,"AAAAADT9nWs=",0)</f>
        <v>#REF!</v>
      </c>
      <c r="DE14" t="e">
        <f>IF(OUTPUT!#REF!,"AAAAADT9nWw=",0)</f>
        <v>#REF!</v>
      </c>
      <c r="DF14" t="e">
        <f>IF(OUTPUT!#REF!,"AAAAADT9nW0=",0)</f>
        <v>#REF!</v>
      </c>
      <c r="DG14" t="e">
        <f>IF(OUTPUT!#REF!,"AAAAADT9nW4=",0)</f>
        <v>#REF!</v>
      </c>
      <c r="DH14" t="e">
        <f>IF(OUTPUT!#REF!,"AAAAADT9nW8=",0)</f>
        <v>#REF!</v>
      </c>
      <c r="DI14" t="e">
        <f>IF(OUTPUT!#REF!,"AAAAADT9nXA=",0)</f>
        <v>#REF!</v>
      </c>
      <c r="DJ14" t="e">
        <f>IF(OUTPUT!#REF!,"AAAAADT9nXE=",0)</f>
        <v>#REF!</v>
      </c>
      <c r="DK14" t="s">
        <v>5</v>
      </c>
      <c r="DL14" t="s">
        <v>6</v>
      </c>
      <c r="DM14" t="e">
        <f>IF("N",_xludf._xlfn.SUMIFS,"AAAAADT9nXQ=")</f>
        <v>#VALUE!</v>
      </c>
      <c r="DN14" t="e">
        <f>IF("N",IMPRIMIR,"AAAAADT9nXU=")</f>
        <v>#VALUE!</v>
      </c>
      <c r="DO14" t="e">
        <f>IF("N",SELECCIONAR,"AAAAADT9nXY=")</f>
        <v>#VALUE!</v>
      </c>
    </row>
    <row r="15" spans="1:256" x14ac:dyDescent="0.2">
      <c r="A15" t="e">
        <f>AND(OUTPUT!C246,"AAAAAG+96AA=")</f>
        <v>#VALUE!</v>
      </c>
      <c r="B15" t="e">
        <f>AND(OUTPUT!D245,"AAAAAG+96AE=")</f>
        <v>#VALUE!</v>
      </c>
      <c r="C15" t="e">
        <f>AND(OUTPUT!E246,"AAAAAG+96AI=")</f>
        <v>#VALUE!</v>
      </c>
      <c r="D15" t="e">
        <f>AND(OUTPUT!F246,"AAAAAG+96AM=")</f>
        <v>#VALUE!</v>
      </c>
      <c r="E15" t="e">
        <f>AND(OUTPUT!G246,"AAAAAG+96AQ=")</f>
        <v>#VALUE!</v>
      </c>
      <c r="F15">
        <f>IF(OUTPUT!230:230,"AAAAAG+96AU=",0)</f>
        <v>0</v>
      </c>
      <c r="G15" t="e">
        <f>AND(OUTPUT!C247,"AAAAAG+96AY=")</f>
        <v>#VALUE!</v>
      </c>
      <c r="H15" t="e">
        <f>AND(OUTPUT!D246,"AAAAAG+96Ac=")</f>
        <v>#VALUE!</v>
      </c>
      <c r="I15" t="e">
        <f>AND(OUTPUT!E247,"AAAAAG+96Ag=")</f>
        <v>#VALUE!</v>
      </c>
      <c r="J15" t="e">
        <f>AND(OUTPUT!F247,"AAAAAG+96Ak=")</f>
        <v>#VALUE!</v>
      </c>
      <c r="K15" t="e">
        <f>AND(OUTPUT!G247,"AAAAAG+96Ao=")</f>
        <v>#VALUE!</v>
      </c>
      <c r="L15">
        <f>IF(OUTPUT!231:231,"AAAAAG+96As=",0)</f>
        <v>0</v>
      </c>
      <c r="M15" t="e">
        <f>AND(OUTPUT!C248,"AAAAAG+96Aw=")</f>
        <v>#VALUE!</v>
      </c>
      <c r="N15" t="e">
        <f>AND(OUTPUT!D247,"AAAAAG+96A0=")</f>
        <v>#VALUE!</v>
      </c>
      <c r="O15" t="e">
        <f>AND(OUTPUT!E248,"AAAAAG+96A4=")</f>
        <v>#VALUE!</v>
      </c>
      <c r="P15" t="e">
        <f>AND(OUTPUT!F248,"AAAAAG+96A8=")</f>
        <v>#VALUE!</v>
      </c>
      <c r="Q15" t="e">
        <f>AND(OUTPUT!G248,"AAAAAG+96BA=")</f>
        <v>#VALUE!</v>
      </c>
      <c r="R15">
        <f>IF(OUTPUT!232:232,"AAAAAG+96BE=",0)</f>
        <v>0</v>
      </c>
      <c r="S15" t="e">
        <f>AND(OUTPUT!C249,"AAAAAG+96BI=")</f>
        <v>#VALUE!</v>
      </c>
      <c r="T15" t="e">
        <f>AND(OUTPUT!D248,"AAAAAG+96BM=")</f>
        <v>#VALUE!</v>
      </c>
      <c r="U15" t="e">
        <f>AND(OUTPUT!E249,"AAAAAG+96BQ=")</f>
        <v>#VALUE!</v>
      </c>
      <c r="V15" t="e">
        <f>AND(OUTPUT!F249,"AAAAAG+96BU=")</f>
        <v>#VALUE!</v>
      </c>
      <c r="W15" t="e">
        <f>AND(OUTPUT!G249,"AAAAAG+96BY=")</f>
        <v>#VALUE!</v>
      </c>
      <c r="X15">
        <f>IF(OUTPUT!233:233,"AAAAAG+96Bc=",0)</f>
        <v>0</v>
      </c>
      <c r="Y15" t="e">
        <f>AND(OUTPUT!C250,"AAAAAG+96Bg=")</f>
        <v>#VALUE!</v>
      </c>
      <c r="Z15" t="e">
        <f>AND(OUTPUT!D249,"AAAAAG+96Bk=")</f>
        <v>#VALUE!</v>
      </c>
      <c r="AA15" t="e">
        <f>AND(OUTPUT!E250,"AAAAAG+96Bo=")</f>
        <v>#VALUE!</v>
      </c>
      <c r="AB15" t="e">
        <f>AND(OUTPUT!F250,"AAAAAG+96Bs=")</f>
        <v>#VALUE!</v>
      </c>
      <c r="AC15" t="e">
        <f>AND(OUTPUT!G250,"AAAAAG+96Bw=")</f>
        <v>#VALUE!</v>
      </c>
      <c r="AD15">
        <f>IF(OUTPUT!234:234,"AAAAAG+96B0=",0)</f>
        <v>0</v>
      </c>
      <c r="AE15" t="e">
        <f>AND(OUTPUT!C251,"AAAAAG+96B4=")</f>
        <v>#VALUE!</v>
      </c>
      <c r="AF15" t="e">
        <f>AND(OUTPUT!D250,"AAAAAG+96B8=")</f>
        <v>#VALUE!</v>
      </c>
      <c r="AG15" t="e">
        <f>AND(OUTPUT!E251,"AAAAAG+96CA=")</f>
        <v>#VALUE!</v>
      </c>
      <c r="AH15" t="e">
        <f>AND(OUTPUT!F251,"AAAAAG+96CE=")</f>
        <v>#VALUE!</v>
      </c>
      <c r="AI15" t="e">
        <f>AND(OUTPUT!G251,"AAAAAG+96CI=")</f>
        <v>#VALUE!</v>
      </c>
      <c r="AJ15">
        <f>IF(OUTPUT!235:235,"AAAAAG+96CM=",0)</f>
        <v>0</v>
      </c>
      <c r="AK15" t="e">
        <f>AND(OUTPUT!C252,"AAAAAG+96CQ=")</f>
        <v>#VALUE!</v>
      </c>
      <c r="AL15" t="e">
        <f>AND(OUTPUT!D251,"AAAAAG+96CU=")</f>
        <v>#VALUE!</v>
      </c>
      <c r="AM15" t="e">
        <f>AND(OUTPUT!E252,"AAAAAG+96CY=")</f>
        <v>#VALUE!</v>
      </c>
      <c r="AN15" t="e">
        <f>AND(OUTPUT!F252,"AAAAAG+96Cc=")</f>
        <v>#VALUE!</v>
      </c>
      <c r="AO15" t="e">
        <f>AND(OUTPUT!G252,"AAAAAG+96Cg=")</f>
        <v>#VALUE!</v>
      </c>
      <c r="AP15">
        <f>IF(OUTPUT!236:236,"AAAAAG+96Ck=",0)</f>
        <v>0</v>
      </c>
      <c r="AQ15" t="e">
        <f>AND(OUTPUT!C253,"AAAAAG+96Co=")</f>
        <v>#VALUE!</v>
      </c>
      <c r="AR15" t="e">
        <f>AND(OUTPUT!D252,"AAAAAG+96Cs=")</f>
        <v>#VALUE!</v>
      </c>
      <c r="AS15" t="e">
        <f>AND(OUTPUT!E253,"AAAAAG+96Cw=")</f>
        <v>#VALUE!</v>
      </c>
      <c r="AT15" t="e">
        <f>AND(OUTPUT!F253,"AAAAAG+96C0=")</f>
        <v>#VALUE!</v>
      </c>
      <c r="AU15" t="e">
        <f>AND(OUTPUT!G253,"AAAAAG+96C4=")</f>
        <v>#VALUE!</v>
      </c>
      <c r="AV15">
        <f>IF(OUTPUT!237:237,"AAAAAG+96C8=",0)</f>
        <v>0</v>
      </c>
      <c r="AW15" t="e">
        <f>AND(OUTPUT!C254,"AAAAAG+96DA=")</f>
        <v>#VALUE!</v>
      </c>
      <c r="AX15" t="e">
        <f>AND(OUTPUT!D253,"AAAAAG+96DE=")</f>
        <v>#VALUE!</v>
      </c>
      <c r="AY15" t="e">
        <f>AND(OUTPUT!E254,"AAAAAG+96DI=")</f>
        <v>#VALUE!</v>
      </c>
      <c r="AZ15" t="e">
        <f>AND(OUTPUT!F254,"AAAAAG+96DM=")</f>
        <v>#VALUE!</v>
      </c>
      <c r="BA15" t="e">
        <f>AND(OUTPUT!G254,"AAAAAG+96DQ=")</f>
        <v>#VALUE!</v>
      </c>
      <c r="BB15">
        <f>IF(OUTPUT!238:238,"AAAAAG+96DU=",0)</f>
        <v>0</v>
      </c>
      <c r="BC15" t="e">
        <f>AND(OUTPUT!C255,"AAAAAG+96DY=")</f>
        <v>#VALUE!</v>
      </c>
      <c r="BD15" t="e">
        <f>AND(OUTPUT!D254,"AAAAAG+96Dc=")</f>
        <v>#VALUE!</v>
      </c>
      <c r="BE15" t="e">
        <f>AND(OUTPUT!E255,"AAAAAG+96Dg=")</f>
        <v>#VALUE!</v>
      </c>
      <c r="BF15" t="e">
        <f>AND(OUTPUT!F255,"AAAAAG+96Dk=")</f>
        <v>#VALUE!</v>
      </c>
      <c r="BG15" t="e">
        <f>AND(OUTPUT!G255,"AAAAAG+96Do=")</f>
        <v>#VALUE!</v>
      </c>
      <c r="BH15">
        <f>IF(OUTPUT!239:239,"AAAAAG+96Ds=",0)</f>
        <v>0</v>
      </c>
      <c r="BI15" t="e">
        <f>AND(OUTPUT!C256,"AAAAAG+96Dw=")</f>
        <v>#VALUE!</v>
      </c>
      <c r="BJ15" t="e">
        <f>AND(OUTPUT!D255,"AAAAAG+96D0=")</f>
        <v>#VALUE!</v>
      </c>
      <c r="BK15" t="e">
        <f>AND(OUTPUT!E256,"AAAAAG+96D4=")</f>
        <v>#VALUE!</v>
      </c>
      <c r="BL15" t="e">
        <f>AND(OUTPUT!F256,"AAAAAG+96D8=")</f>
        <v>#VALUE!</v>
      </c>
      <c r="BM15" t="e">
        <f>AND(OUTPUT!G256,"AAAAAG+96EA=")</f>
        <v>#VALUE!</v>
      </c>
      <c r="BN15">
        <f>IF(OUTPUT!240:240,"AAAAAG+96EE=",0)</f>
        <v>0</v>
      </c>
      <c r="BO15" t="e">
        <f>AND(OUTPUT!C257,"AAAAAG+96EI=")</f>
        <v>#VALUE!</v>
      </c>
      <c r="BP15" t="e">
        <f>AND(OUTPUT!D256,"AAAAAG+96EM=")</f>
        <v>#VALUE!</v>
      </c>
      <c r="BQ15" t="e">
        <f>AND(OUTPUT!E257,"AAAAAG+96EQ=")</f>
        <v>#VALUE!</v>
      </c>
      <c r="BR15" t="e">
        <f>AND(OUTPUT!F257,"AAAAAG+96EU=")</f>
        <v>#VALUE!</v>
      </c>
      <c r="BS15" t="e">
        <f>AND(OUTPUT!G257,"AAAAAG+96EY=")</f>
        <v>#VALUE!</v>
      </c>
      <c r="BT15">
        <f>IF(OUTPUT!241:241,"AAAAAG+96Ec=",0)</f>
        <v>0</v>
      </c>
      <c r="BU15" t="e">
        <f>AND(OUTPUT!C258,"AAAAAG+96Eg=")</f>
        <v>#VALUE!</v>
      </c>
      <c r="BV15" t="e">
        <f>AND(OUTPUT!D257,"AAAAAG+96Ek=")</f>
        <v>#VALUE!</v>
      </c>
      <c r="BW15" t="e">
        <f>AND(OUTPUT!E258,"AAAAAG+96Eo=")</f>
        <v>#VALUE!</v>
      </c>
      <c r="BX15" t="e">
        <f>AND(OUTPUT!F258,"AAAAAG+96Es=")</f>
        <v>#VALUE!</v>
      </c>
      <c r="BY15" t="e">
        <f>AND(OUTPUT!G258,"AAAAAG+96Ew=")</f>
        <v>#VALUE!</v>
      </c>
      <c r="BZ15">
        <f>IF(OUTPUT!242:242,"AAAAAG+96E0=",0)</f>
        <v>0</v>
      </c>
      <c r="CA15" t="e">
        <f>AND(OUTPUT!C259,"AAAAAG+96E4=")</f>
        <v>#VALUE!</v>
      </c>
      <c r="CB15" t="e">
        <f>AND(OUTPUT!D258,"AAAAAG+96E8=")</f>
        <v>#VALUE!</v>
      </c>
      <c r="CC15" t="e">
        <f>AND(OUTPUT!E259,"AAAAAG+96FA=")</f>
        <v>#VALUE!</v>
      </c>
      <c r="CD15" t="e">
        <f>AND(OUTPUT!F259,"AAAAAG+96FE=")</f>
        <v>#VALUE!</v>
      </c>
      <c r="CE15" t="e">
        <f>AND(OUTPUT!G259,"AAAAAG+96FI=")</f>
        <v>#VALUE!</v>
      </c>
      <c r="CF15" t="s">
        <v>7</v>
      </c>
    </row>
    <row r="16" spans="1:256" x14ac:dyDescent="0.2">
      <c r="A16" t="s">
        <v>8</v>
      </c>
    </row>
    <row r="17" spans="1:256" x14ac:dyDescent="0.2">
      <c r="A17" t="s">
        <v>9</v>
      </c>
    </row>
    <row r="18" spans="1:256" x14ac:dyDescent="0.2">
      <c r="A18">
        <f>IF(OUTPUT!166:166,"AAAAAH/5OQA=",0)</f>
        <v>0</v>
      </c>
      <c r="B18" t="e">
        <f>AND(OUTPUT!C169,"AAAAAH/5OQE=")</f>
        <v>#VALUE!</v>
      </c>
      <c r="C18" t="e">
        <f>AND(OUTPUT!D168,"AAAAAH/5OQI=")</f>
        <v>#VALUE!</v>
      </c>
      <c r="D18" t="e">
        <f>AND(OUTPUT!E169,"AAAAAH/5OQM=")</f>
        <v>#VALUE!</v>
      </c>
      <c r="E18" t="e">
        <f>AND(OUTPUT!F169,"AAAAAH/5OQQ=")</f>
        <v>#VALUE!</v>
      </c>
      <c r="F18" t="e">
        <f>AND(OUTPUT!G169,"AAAAAH/5OQU=")</f>
        <v>#VALUE!</v>
      </c>
      <c r="G18" t="e">
        <f>AND(OUTPUT!I166,"AAAAAH/5OQY=")</f>
        <v>#VALUE!</v>
      </c>
      <c r="H18" t="e">
        <f>AND(OUTPUT!#REF!,"AAAAAH/5OQc=")</f>
        <v>#REF!</v>
      </c>
      <c r="I18" t="e">
        <f>AND(OUTPUT!#REF!,"AAAAAH/5OQg=")</f>
        <v>#REF!</v>
      </c>
      <c r="J18" t="e">
        <f>AND(OUTPUT!#REF!,"AAAAAH/5OQk=")</f>
        <v>#REF!</v>
      </c>
      <c r="K18" t="e">
        <f>AND(OUTPUT!#REF!,"AAAAAH/5OQo=")</f>
        <v>#REF!</v>
      </c>
      <c r="L18" t="e">
        <f>AND(OUTPUT!#REF!,"AAAAAH/5OQs=")</f>
        <v>#REF!</v>
      </c>
      <c r="M18" t="e">
        <f>AND(OUTPUT!#REF!,"AAAAAH/5OQw=")</f>
        <v>#REF!</v>
      </c>
      <c r="N18" t="e">
        <f>AND(OUTPUT!#REF!,"AAAAAH/5OQ0=")</f>
        <v>#REF!</v>
      </c>
      <c r="O18">
        <f>IF(OUTPUT!168:168,"AAAAAH/5OQ4=",0)</f>
        <v>0</v>
      </c>
      <c r="P18" t="e">
        <f>AND(OUTPUT!C171,"AAAAAH/5OQ8=")</f>
        <v>#VALUE!</v>
      </c>
      <c r="Q18" t="e">
        <f>AND(OUTPUT!D169,"AAAAAH/5ORA=")</f>
        <v>#VALUE!</v>
      </c>
      <c r="R18" t="e">
        <f>AND(OUTPUT!E171,"AAAAAH/5ORE=")</f>
        <v>#VALUE!</v>
      </c>
      <c r="S18" t="e">
        <f>AND(OUTPUT!F171,"AAAAAH/5ORI=")</f>
        <v>#VALUE!</v>
      </c>
      <c r="T18" t="e">
        <f>AND(OUTPUT!G171,"AAAAAH/5ORM=")</f>
        <v>#VALUE!</v>
      </c>
      <c r="U18" t="e">
        <f>AND(OUTPUT!I168,"AAAAAH/5ORQ=")</f>
        <v>#VALUE!</v>
      </c>
      <c r="V18" t="e">
        <f>AND(OUTPUT!#REF!,"AAAAAH/5ORU=")</f>
        <v>#REF!</v>
      </c>
      <c r="W18" t="e">
        <f>AND(OUTPUT!#REF!,"AAAAAH/5ORY=")</f>
        <v>#REF!</v>
      </c>
      <c r="X18" t="e">
        <f>AND(OUTPUT!#REF!,"AAAAAH/5ORc=")</f>
        <v>#REF!</v>
      </c>
      <c r="Y18" t="e">
        <f>AND(OUTPUT!#REF!,"AAAAAH/5ORg=")</f>
        <v>#REF!</v>
      </c>
      <c r="Z18" t="e">
        <f>AND(OUTPUT!#REF!,"AAAAAH/5ORk=")</f>
        <v>#REF!</v>
      </c>
      <c r="AA18" t="e">
        <f>AND(OUTPUT!#REF!,"AAAAAH/5ORo=")</f>
        <v>#REF!</v>
      </c>
      <c r="AB18" t="e">
        <f>AND(OUTPUT!#REF!,"AAAAAH/5ORs=")</f>
        <v>#REF!</v>
      </c>
      <c r="AC18" t="e">
        <f>AND(OUTPUT!C172,"AAAAAH/5ORw=")</f>
        <v>#VALUE!</v>
      </c>
      <c r="AD18" t="e">
        <f>AND(OUTPUT!D171,"AAAAAH/5OR0=")</f>
        <v>#VALUE!</v>
      </c>
      <c r="AE18" t="e">
        <f>AND(OUTPUT!E172,"AAAAAH/5OR4=")</f>
        <v>#VALUE!</v>
      </c>
      <c r="AF18" t="e">
        <f>AND(OUTPUT!F172,"AAAAAH/5OR8=")</f>
        <v>#VALUE!</v>
      </c>
      <c r="AG18" t="e">
        <f>AND(OUTPUT!G172,"AAAAAH/5OSA=")</f>
        <v>#VALUE!</v>
      </c>
      <c r="AH18" t="e">
        <f>AND(OUTPUT!C173,"AAAAAH/5OSE=")</f>
        <v>#VALUE!</v>
      </c>
      <c r="AI18" t="e">
        <f>AND(OUTPUT!D172,"AAAAAH/5OSI=")</f>
        <v>#VALUE!</v>
      </c>
      <c r="AJ18" t="e">
        <f>AND(OUTPUT!E173,"AAAAAH/5OSM=")</f>
        <v>#VALUE!</v>
      </c>
      <c r="AK18" t="e">
        <f>AND(OUTPUT!F173,"AAAAAH/5OSQ=")</f>
        <v>#VALUE!</v>
      </c>
      <c r="AL18" t="e">
        <f>AND(OUTPUT!G173,"AAAAAH/5OSU=")</f>
        <v>#VALUE!</v>
      </c>
      <c r="AM18" t="e">
        <f>AND(OUTPUT!C174,"AAAAAH/5OSY=")</f>
        <v>#VALUE!</v>
      </c>
      <c r="AN18" t="e">
        <f>AND(OUTPUT!D173,"AAAAAH/5OSc=")</f>
        <v>#VALUE!</v>
      </c>
      <c r="AO18" t="e">
        <f>AND(OUTPUT!E174,"AAAAAH/5OSg=")</f>
        <v>#VALUE!</v>
      </c>
      <c r="AP18" t="e">
        <f>AND(OUTPUT!F174,"AAAAAH/5OSk=")</f>
        <v>#VALUE!</v>
      </c>
      <c r="AQ18" t="e">
        <f>AND(OUTPUT!G174,"AAAAAH/5OSo=")</f>
        <v>#VALUE!</v>
      </c>
      <c r="AR18" t="e">
        <f>AND(OUTPUT!C175,"AAAAAH/5OSs=")</f>
        <v>#VALUE!</v>
      </c>
      <c r="AS18" t="e">
        <f>AND(OUTPUT!D174,"AAAAAH/5OSw=")</f>
        <v>#VALUE!</v>
      </c>
      <c r="AT18" t="e">
        <f>AND(OUTPUT!E175,"AAAAAH/5OS0=")</f>
        <v>#VALUE!</v>
      </c>
      <c r="AU18" t="e">
        <f>AND(OUTPUT!F175,"AAAAAH/5OS4=")</f>
        <v>#VALUE!</v>
      </c>
      <c r="AV18" t="e">
        <f>AND(OUTPUT!G175,"AAAAAH/5OS8=")</f>
        <v>#VALUE!</v>
      </c>
      <c r="AW18">
        <f>IF(OUTPUT!191:191,"AAAAAH/5OTA=",0)</f>
        <v>0</v>
      </c>
      <c r="AX18" t="e">
        <f>AND(OUTPUT!C192,"AAAAAH/5OTE=")</f>
        <v>#VALUE!</v>
      </c>
      <c r="AY18" t="e">
        <f>AND(OUTPUT!D190,"AAAAAH/5OTI=")</f>
        <v>#VALUE!</v>
      </c>
      <c r="AZ18" t="e">
        <f>AND(OUTPUT!E192,"AAAAAH/5OTM=")</f>
        <v>#VALUE!</v>
      </c>
      <c r="BA18" t="e">
        <f>AND(OUTPUT!F192,"AAAAAH/5OTQ=")</f>
        <v>#VALUE!</v>
      </c>
      <c r="BB18" t="e">
        <f>AND(OUTPUT!G192,"AAAAAH/5OTU=")</f>
        <v>#VALUE!</v>
      </c>
      <c r="BC18" t="e">
        <f>AND(OUTPUT!I191,"AAAAAH/5OTY=")</f>
        <v>#VALUE!</v>
      </c>
      <c r="BD18" t="e">
        <f>AND(OUTPUT!#REF!,"AAAAAH/5OTc=")</f>
        <v>#REF!</v>
      </c>
      <c r="BE18" t="e">
        <f>AND(OUTPUT!#REF!,"AAAAAH/5OTg=")</f>
        <v>#REF!</v>
      </c>
      <c r="BF18" t="e">
        <f>AND(OUTPUT!#REF!,"AAAAAH/5OTk=")</f>
        <v>#REF!</v>
      </c>
      <c r="BG18" t="e">
        <f>AND(OUTPUT!#REF!,"AAAAAH/5OTo=")</f>
        <v>#REF!</v>
      </c>
      <c r="BH18" t="e">
        <f>AND(OUTPUT!#REF!,"AAAAAH/5OTs=")</f>
        <v>#REF!</v>
      </c>
      <c r="BI18" t="e">
        <f>AND(OUTPUT!#REF!,"AAAAAH/5OTw=")</f>
        <v>#REF!</v>
      </c>
      <c r="BJ18" t="e">
        <f>AND(OUTPUT!#REF!,"AAAAAH/5OT0=")</f>
        <v>#REF!</v>
      </c>
      <c r="BK18">
        <f>IF(OUTPUT!192:192,"AAAAAH/5OT4=",0)</f>
        <v>0</v>
      </c>
      <c r="BL18" t="e">
        <f>AND(OUTPUT!C193,"AAAAAH/5OT8=")</f>
        <v>#VALUE!</v>
      </c>
      <c r="BM18" t="e">
        <f>AND(OUTPUT!D192,"AAAAAH/5OUA=")</f>
        <v>#VALUE!</v>
      </c>
      <c r="BN18" t="e">
        <f>AND(OUTPUT!E193,"AAAAAH/5OUE=")</f>
        <v>#VALUE!</v>
      </c>
      <c r="BO18" t="e">
        <f>AND(OUTPUT!F193,"AAAAAH/5OUI=")</f>
        <v>#VALUE!</v>
      </c>
      <c r="BP18" t="e">
        <f>AND(OUTPUT!G193,"AAAAAH/5OUM=")</f>
        <v>#VALUE!</v>
      </c>
      <c r="BQ18" t="e">
        <f>AND(OUTPUT!I192,"AAAAAH/5OUQ=")</f>
        <v>#VALUE!</v>
      </c>
      <c r="BR18" t="e">
        <f>AND(OUTPUT!#REF!,"AAAAAH/5OUU=")</f>
        <v>#REF!</v>
      </c>
      <c r="BS18" t="e">
        <f>AND(OUTPUT!#REF!,"AAAAAH/5OUY=")</f>
        <v>#REF!</v>
      </c>
      <c r="BT18" t="e">
        <f>AND(OUTPUT!#REF!,"AAAAAH/5OUc=")</f>
        <v>#REF!</v>
      </c>
      <c r="BU18" t="e">
        <f>AND(OUTPUT!#REF!,"AAAAAH/5OUg=")</f>
        <v>#REF!</v>
      </c>
      <c r="BV18" t="e">
        <f>AND(OUTPUT!#REF!,"AAAAAH/5OUk=")</f>
        <v>#REF!</v>
      </c>
      <c r="BW18" t="e">
        <f>AND(OUTPUT!#REF!,"AAAAAH/5OUo=")</f>
        <v>#REF!</v>
      </c>
      <c r="BX18" t="e">
        <f>AND(OUTPUT!#REF!,"AAAAAH/5OUs=")</f>
        <v>#REF!</v>
      </c>
      <c r="BY18" t="e">
        <f>AND(OUTPUT!C194,"AAAAAH/5OUw=")</f>
        <v>#VALUE!</v>
      </c>
      <c r="BZ18" t="e">
        <f>AND(OUTPUT!D193,"AAAAAH/5OU0=")</f>
        <v>#VALUE!</v>
      </c>
      <c r="CA18" t="e">
        <f>AND(OUTPUT!E194,"AAAAAH/5OU4=")</f>
        <v>#VALUE!</v>
      </c>
      <c r="CB18" t="e">
        <f>AND(OUTPUT!F194,"AAAAAH/5OU8=")</f>
        <v>#VALUE!</v>
      </c>
      <c r="CC18" t="e">
        <f>AND(OUTPUT!G194,"AAAAAH/5OVA=")</f>
        <v>#VALUE!</v>
      </c>
      <c r="CD18" t="e">
        <f>AND(OUTPUT!C195,"AAAAAH/5OVE=")</f>
        <v>#VALUE!</v>
      </c>
      <c r="CE18" t="e">
        <f>AND(OUTPUT!D194,"AAAAAH/5OVI=")</f>
        <v>#VALUE!</v>
      </c>
      <c r="CF18" t="e">
        <f>AND(OUTPUT!E195,"AAAAAH/5OVM=")</f>
        <v>#VALUE!</v>
      </c>
      <c r="CG18" t="e">
        <f>AND(OUTPUT!F195,"AAAAAH/5OVQ=")</f>
        <v>#VALUE!</v>
      </c>
      <c r="CH18" t="e">
        <f>AND(OUTPUT!G195,"AAAAAH/5OVU=")</f>
        <v>#VALUE!</v>
      </c>
      <c r="CI18" t="e">
        <f>AND(OUTPUT!C196,"AAAAAH/5OVY=")</f>
        <v>#VALUE!</v>
      </c>
      <c r="CJ18" t="e">
        <f>AND(OUTPUT!D195,"AAAAAH/5OVc=")</f>
        <v>#VALUE!</v>
      </c>
      <c r="CK18" t="e">
        <f>AND(OUTPUT!E196,"AAAAAH/5OVg=")</f>
        <v>#VALUE!</v>
      </c>
      <c r="CL18" t="e">
        <f>AND(OUTPUT!F196,"AAAAAH/5OVk=")</f>
        <v>#VALUE!</v>
      </c>
      <c r="CM18" t="e">
        <f>AND(OUTPUT!G196,"AAAAAH/5OVo=")</f>
        <v>#VALUE!</v>
      </c>
      <c r="CN18" t="e">
        <f>AND(OUTPUT!C197,"AAAAAH/5OVs=")</f>
        <v>#VALUE!</v>
      </c>
      <c r="CO18" t="e">
        <f>AND(OUTPUT!D196,"AAAAAH/5OVw=")</f>
        <v>#VALUE!</v>
      </c>
      <c r="CP18" t="e">
        <f>AND(OUTPUT!E197,"AAAAAH/5OV0=")</f>
        <v>#VALUE!</v>
      </c>
      <c r="CQ18" t="e">
        <f>AND(OUTPUT!F197,"AAAAAH/5OV4=")</f>
        <v>#VALUE!</v>
      </c>
      <c r="CR18" t="e">
        <f>AND(OUTPUT!G197,"AAAAAH/5OV8=")</f>
        <v>#VALUE!</v>
      </c>
      <c r="CS18">
        <f>IF(OUTPUT!197:197,"AAAAAH/5OWA=",0)</f>
        <v>0</v>
      </c>
      <c r="CT18" t="e">
        <f>AND(OUTPUT!C198,"AAAAAH/5OWE=")</f>
        <v>#VALUE!</v>
      </c>
      <c r="CU18" t="e">
        <f>AND(OUTPUT!D197,"AAAAAH/5OWI=")</f>
        <v>#VALUE!</v>
      </c>
      <c r="CV18" t="e">
        <f>AND(OUTPUT!E198,"AAAAAH/5OWM=")</f>
        <v>#VALUE!</v>
      </c>
      <c r="CW18" t="e">
        <f>AND(OUTPUT!F198,"AAAAAH/5OWQ=")</f>
        <v>#VALUE!</v>
      </c>
      <c r="CX18" t="e">
        <f>AND(OUTPUT!G198,"AAAAAH/5OWU=")</f>
        <v>#VALUE!</v>
      </c>
      <c r="CY18" t="e">
        <f>AND(OUTPUT!I197,"AAAAAH/5OWY=")</f>
        <v>#VALUE!</v>
      </c>
      <c r="CZ18" t="e">
        <f>AND(OUTPUT!#REF!,"AAAAAH/5OWc=")</f>
        <v>#REF!</v>
      </c>
      <c r="DA18" t="e">
        <f>AND(OUTPUT!#REF!,"AAAAAH/5OWg=")</f>
        <v>#REF!</v>
      </c>
      <c r="DB18" t="e">
        <f>AND(OUTPUT!#REF!,"AAAAAH/5OWk=")</f>
        <v>#REF!</v>
      </c>
      <c r="DC18" t="e">
        <f>AND(OUTPUT!#REF!,"AAAAAH/5OWo=")</f>
        <v>#REF!</v>
      </c>
      <c r="DD18" t="e">
        <f>AND(OUTPUT!#REF!,"AAAAAH/5OWs=")</f>
        <v>#REF!</v>
      </c>
      <c r="DE18" t="e">
        <f>AND(OUTPUT!#REF!,"AAAAAH/5OWw=")</f>
        <v>#REF!</v>
      </c>
      <c r="DF18" t="e">
        <f>AND(OUTPUT!#REF!,"AAAAAH/5OW0=")</f>
        <v>#REF!</v>
      </c>
      <c r="DG18">
        <f>IF(OUTPUT!198:198,"AAAAAH/5OW4=",0)</f>
        <v>0</v>
      </c>
      <c r="DH18" t="e">
        <f>AND(OUTPUT!C199,"AAAAAH/5OW8=")</f>
        <v>#VALUE!</v>
      </c>
      <c r="DI18" t="e">
        <f>AND(OUTPUT!D198,"AAAAAH/5OXA=")</f>
        <v>#VALUE!</v>
      </c>
      <c r="DJ18" t="e">
        <f>AND(OUTPUT!E199,"AAAAAH/5OXE=")</f>
        <v>#VALUE!</v>
      </c>
      <c r="DK18" t="e">
        <f>AND(OUTPUT!F199,"AAAAAH/5OXI=")</f>
        <v>#VALUE!</v>
      </c>
      <c r="DL18" t="e">
        <f>AND(OUTPUT!G199,"AAAAAH/5OXM=")</f>
        <v>#VALUE!</v>
      </c>
      <c r="DM18" t="e">
        <f>AND(OUTPUT!I198,"AAAAAH/5OXQ=")</f>
        <v>#VALUE!</v>
      </c>
      <c r="DN18" t="e">
        <f>AND(OUTPUT!#REF!,"AAAAAH/5OXU=")</f>
        <v>#REF!</v>
      </c>
      <c r="DO18" t="e">
        <f>AND(OUTPUT!#REF!,"AAAAAH/5OXY=")</f>
        <v>#REF!</v>
      </c>
      <c r="DP18" t="e">
        <f>AND(OUTPUT!#REF!,"AAAAAH/5OXc=")</f>
        <v>#REF!</v>
      </c>
      <c r="DQ18" t="e">
        <f>AND(OUTPUT!#REF!,"AAAAAH/5OXg=")</f>
        <v>#REF!</v>
      </c>
      <c r="DR18" t="e">
        <f>AND(OUTPUT!#REF!,"AAAAAH/5OXk=")</f>
        <v>#REF!</v>
      </c>
      <c r="DS18" t="e">
        <f>AND(OUTPUT!#REF!,"AAAAAH/5OXo=")</f>
        <v>#REF!</v>
      </c>
      <c r="DT18" t="e">
        <f>AND(OUTPUT!#REF!,"AAAAAH/5OXs=")</f>
        <v>#REF!</v>
      </c>
      <c r="DU18" t="e">
        <f>AND(OUTPUT!C200,"AAAAAH/5OXw=")</f>
        <v>#VALUE!</v>
      </c>
      <c r="DV18" t="e">
        <f>AND(OUTPUT!D199,"AAAAAH/5OX0=")</f>
        <v>#VALUE!</v>
      </c>
      <c r="DW18" t="e">
        <f>AND(OUTPUT!E200,"AAAAAH/5OX4=")</f>
        <v>#VALUE!</v>
      </c>
      <c r="DX18" t="e">
        <f>AND(OUTPUT!F200,"AAAAAH/5OX8=")</f>
        <v>#VALUE!</v>
      </c>
      <c r="DY18" t="e">
        <f>AND(OUTPUT!G200,"AAAAAH/5OYA=")</f>
        <v>#VALUE!</v>
      </c>
      <c r="DZ18" t="e">
        <f>AND(OUTPUT!C201,"AAAAAH/5OYE=")</f>
        <v>#VALUE!</v>
      </c>
      <c r="EA18" t="e">
        <f>AND(OUTPUT!D200,"AAAAAH/5OYI=")</f>
        <v>#VALUE!</v>
      </c>
      <c r="EB18" t="e">
        <f>AND(OUTPUT!E201,"AAAAAH/5OYM=")</f>
        <v>#VALUE!</v>
      </c>
      <c r="EC18" t="e">
        <f>AND(OUTPUT!F201,"AAAAAH/5OYQ=")</f>
        <v>#VALUE!</v>
      </c>
      <c r="ED18" t="e">
        <f>AND(OUTPUT!G201,"AAAAAH/5OYU=")</f>
        <v>#VALUE!</v>
      </c>
      <c r="EE18">
        <f>IF(OUTPUT!201:201,"AAAAAH/5OYY=",0)</f>
        <v>0</v>
      </c>
      <c r="EF18" t="e">
        <f>AND(OUTPUT!C202,"AAAAAH/5OYc=")</f>
        <v>#VALUE!</v>
      </c>
      <c r="EG18" t="e">
        <f>AND(OUTPUT!D201,"AAAAAH/5OYg=")</f>
        <v>#VALUE!</v>
      </c>
      <c r="EH18" t="e">
        <f>AND(OUTPUT!E202,"AAAAAH/5OYk=")</f>
        <v>#VALUE!</v>
      </c>
      <c r="EI18" t="e">
        <f>AND(OUTPUT!F202,"AAAAAH/5OYo=")</f>
        <v>#VALUE!</v>
      </c>
      <c r="EJ18" t="e">
        <f>AND(OUTPUT!G202,"AAAAAH/5OYs=")</f>
        <v>#VALUE!</v>
      </c>
      <c r="EK18" t="e">
        <f>AND(OUTPUT!I201,"AAAAAH/5OYw=")</f>
        <v>#VALUE!</v>
      </c>
      <c r="EL18" t="e">
        <f>AND(OUTPUT!#REF!,"AAAAAH/5OY0=")</f>
        <v>#REF!</v>
      </c>
      <c r="EM18" t="e">
        <f>AND(OUTPUT!#REF!,"AAAAAH/5OY4=")</f>
        <v>#REF!</v>
      </c>
      <c r="EN18" t="e">
        <f>AND(OUTPUT!#REF!,"AAAAAH/5OY8=")</f>
        <v>#REF!</v>
      </c>
      <c r="EO18" t="e">
        <f>AND(OUTPUT!#REF!,"AAAAAH/5OZA=")</f>
        <v>#REF!</v>
      </c>
      <c r="EP18" t="e">
        <f>AND(OUTPUT!#REF!,"AAAAAH/5OZE=")</f>
        <v>#REF!</v>
      </c>
      <c r="EQ18" t="e">
        <f>AND(OUTPUT!#REF!,"AAAAAH/5OZI=")</f>
        <v>#REF!</v>
      </c>
      <c r="ER18" t="e">
        <f>AND(OUTPUT!#REF!,"AAAAAH/5OZM=")</f>
        <v>#REF!</v>
      </c>
      <c r="ES18">
        <f>IF(OUTPUT!202:202,"AAAAAH/5OZQ=",0)</f>
        <v>0</v>
      </c>
      <c r="ET18" t="e">
        <f>AND(OUTPUT!C203,"AAAAAH/5OZU=")</f>
        <v>#VALUE!</v>
      </c>
      <c r="EU18" t="e">
        <f>AND(OUTPUT!D202,"AAAAAH/5OZY=")</f>
        <v>#VALUE!</v>
      </c>
      <c r="EV18" t="e">
        <f>AND(OUTPUT!E203,"AAAAAH/5OZc=")</f>
        <v>#VALUE!</v>
      </c>
      <c r="EW18" t="e">
        <f>AND(OUTPUT!F203,"AAAAAH/5OZg=")</f>
        <v>#VALUE!</v>
      </c>
      <c r="EX18" t="e">
        <f>AND(OUTPUT!G203,"AAAAAH/5OZk=")</f>
        <v>#VALUE!</v>
      </c>
      <c r="EY18" t="e">
        <f>AND(OUTPUT!I202,"AAAAAH/5OZo=")</f>
        <v>#VALUE!</v>
      </c>
      <c r="EZ18" t="e">
        <f>AND(OUTPUT!#REF!,"AAAAAH/5OZs=")</f>
        <v>#REF!</v>
      </c>
      <c r="FA18" t="e">
        <f>AND(OUTPUT!#REF!,"AAAAAH/5OZw=")</f>
        <v>#REF!</v>
      </c>
      <c r="FB18" t="e">
        <f>AND(OUTPUT!#REF!,"AAAAAH/5OZ0=")</f>
        <v>#REF!</v>
      </c>
      <c r="FC18" t="e">
        <f>AND(OUTPUT!#REF!,"AAAAAH/5OZ4=")</f>
        <v>#REF!</v>
      </c>
      <c r="FD18" t="e">
        <f>AND(OUTPUT!#REF!,"AAAAAH/5OZ8=")</f>
        <v>#REF!</v>
      </c>
      <c r="FE18" t="e">
        <f>AND(OUTPUT!#REF!,"AAAAAH/5OaA=")</f>
        <v>#REF!</v>
      </c>
      <c r="FF18" t="e">
        <f>AND(OUTPUT!#REF!,"AAAAAH/5OaE=")</f>
        <v>#REF!</v>
      </c>
      <c r="FG18">
        <f>IF(OUTPUT!225:225,"AAAAAH/5OaI=",0)</f>
        <v>0</v>
      </c>
      <c r="FH18" t="e">
        <f>AND(OUTPUT!C226,"AAAAAH/5OaM=")</f>
        <v>#VALUE!</v>
      </c>
      <c r="FI18" t="e">
        <f>AND(OUTPUT!D225,"AAAAAH/5OaQ=")</f>
        <v>#VALUE!</v>
      </c>
      <c r="FJ18" t="e">
        <f>AND(OUTPUT!E226,"AAAAAH/5OaU=")</f>
        <v>#VALUE!</v>
      </c>
      <c r="FK18" t="e">
        <f>AND(OUTPUT!F226,"AAAAAH/5OaY=")</f>
        <v>#VALUE!</v>
      </c>
      <c r="FL18" t="e">
        <f>AND(OUTPUT!G226,"AAAAAH/5Oac=")</f>
        <v>#VALUE!</v>
      </c>
      <c r="FM18" t="e">
        <f>AND(OUTPUT!I225,"AAAAAH/5Oag=")</f>
        <v>#VALUE!</v>
      </c>
      <c r="FN18" t="e">
        <f>AND(OUTPUT!#REF!,"AAAAAH/5Oak=")</f>
        <v>#REF!</v>
      </c>
      <c r="FO18" t="e">
        <f>AND(OUTPUT!#REF!,"AAAAAH/5Oao=")</f>
        <v>#REF!</v>
      </c>
      <c r="FP18" t="e">
        <f>AND(OUTPUT!#REF!,"AAAAAH/5Oas=")</f>
        <v>#REF!</v>
      </c>
      <c r="FQ18" t="e">
        <f>AND(OUTPUT!#REF!,"AAAAAH/5Oaw=")</f>
        <v>#REF!</v>
      </c>
      <c r="FR18" t="e">
        <f>AND(OUTPUT!#REF!,"AAAAAH/5Oa0=")</f>
        <v>#REF!</v>
      </c>
      <c r="FS18" t="e">
        <f>AND(OUTPUT!#REF!,"AAAAAH/5Oa4=")</f>
        <v>#REF!</v>
      </c>
      <c r="FT18" t="e">
        <f>AND(OUTPUT!#REF!,"AAAAAH/5Oa8=")</f>
        <v>#REF!</v>
      </c>
      <c r="FU18">
        <f>IF(OUTPUT!226:226,"AAAAAH/5ObA=",0)</f>
        <v>0</v>
      </c>
      <c r="FV18" t="e">
        <f>AND(OUTPUT!C227,"AAAAAH/5ObE=")</f>
        <v>#VALUE!</v>
      </c>
      <c r="FW18" t="e">
        <f>AND(OUTPUT!D226,"AAAAAH/5ObI=")</f>
        <v>#VALUE!</v>
      </c>
      <c r="FX18" t="e">
        <f>AND(OUTPUT!E227,"AAAAAH/5ObM=")</f>
        <v>#VALUE!</v>
      </c>
      <c r="FY18" t="e">
        <f>AND(OUTPUT!F227,"AAAAAH/5ObQ=")</f>
        <v>#VALUE!</v>
      </c>
      <c r="FZ18" t="e">
        <f>AND(OUTPUT!G227,"AAAAAH/5ObU=")</f>
        <v>#VALUE!</v>
      </c>
      <c r="GA18" t="e">
        <f>AND(OUTPUT!I226,"AAAAAH/5ObY=")</f>
        <v>#VALUE!</v>
      </c>
      <c r="GB18" t="e">
        <f>AND(OUTPUT!#REF!,"AAAAAH/5Obc=")</f>
        <v>#REF!</v>
      </c>
      <c r="GC18" t="e">
        <f>AND(OUTPUT!#REF!,"AAAAAH/5Obg=")</f>
        <v>#REF!</v>
      </c>
      <c r="GD18" t="e">
        <f>AND(OUTPUT!#REF!,"AAAAAH/5Obk=")</f>
        <v>#REF!</v>
      </c>
      <c r="GE18" t="e">
        <f>AND(OUTPUT!#REF!,"AAAAAH/5Obo=")</f>
        <v>#REF!</v>
      </c>
      <c r="GF18" t="e">
        <f>AND(OUTPUT!#REF!,"AAAAAH/5Obs=")</f>
        <v>#REF!</v>
      </c>
      <c r="GG18" t="e">
        <f>AND(OUTPUT!#REF!,"AAAAAH/5Obw=")</f>
        <v>#REF!</v>
      </c>
      <c r="GH18" t="e">
        <f>AND(OUTPUT!#REF!,"AAAAAH/5Ob0=")</f>
        <v>#REF!</v>
      </c>
      <c r="GI18" t="e">
        <f>AND(OUTPUT!C228,"AAAAAH/5Ob4=")</f>
        <v>#VALUE!</v>
      </c>
      <c r="GJ18" t="e">
        <f>AND(OUTPUT!D227,"AAAAAH/5Ob8=")</f>
        <v>#VALUE!</v>
      </c>
      <c r="GK18" t="e">
        <f>AND(OUTPUT!E228,"AAAAAH/5OcA=")</f>
        <v>#VALUE!</v>
      </c>
      <c r="GL18" t="e">
        <f>AND(OUTPUT!F228,"AAAAAH/5OcE=")</f>
        <v>#VALUE!</v>
      </c>
      <c r="GM18" t="e">
        <f>AND(OUTPUT!G228,"AAAAAH/5OcI=")</f>
        <v>#VALUE!</v>
      </c>
      <c r="GN18" t="e">
        <f>AND(OUTPUT!C229,"AAAAAH/5OcM=")</f>
        <v>#VALUE!</v>
      </c>
      <c r="GO18" t="e">
        <f>AND(OUTPUT!D228,"AAAAAH/5OcQ=")</f>
        <v>#VALUE!</v>
      </c>
      <c r="GP18" t="e">
        <f>AND(OUTPUT!E229,"AAAAAH/5OcU=")</f>
        <v>#VALUE!</v>
      </c>
      <c r="GQ18" t="e">
        <f>AND(OUTPUT!F229,"AAAAAH/5OcY=")</f>
        <v>#VALUE!</v>
      </c>
      <c r="GR18" t="e">
        <f>AND(OUTPUT!G229,"AAAAAH/5Occ=")</f>
        <v>#VALUE!</v>
      </c>
      <c r="GS18" t="e">
        <f>AND(OUTPUT!C230,"AAAAAH/5Ocg=")</f>
        <v>#VALUE!</v>
      </c>
      <c r="GT18" t="e">
        <f>AND(OUTPUT!D229,"AAAAAH/5Ock=")</f>
        <v>#VALUE!</v>
      </c>
      <c r="GU18" t="e">
        <f>AND(OUTPUT!E230,"AAAAAH/5Oco=")</f>
        <v>#VALUE!</v>
      </c>
      <c r="GV18" t="e">
        <f>AND(OUTPUT!F230,"AAAAAH/5Ocs=")</f>
        <v>#VALUE!</v>
      </c>
      <c r="GW18" t="e">
        <f>AND(OUTPUT!G230,"AAAAAH/5Ocw=")</f>
        <v>#VALUE!</v>
      </c>
      <c r="GX18" t="e">
        <f>AND(OUTPUT!I229,"AAAAAH/5Oc0=")</f>
        <v>#VALUE!</v>
      </c>
      <c r="GY18" t="e">
        <f>AND(OUTPUT!#REF!,"AAAAAH/5Oc4=")</f>
        <v>#REF!</v>
      </c>
      <c r="GZ18" t="e">
        <f>AND(OUTPUT!#REF!,"AAAAAH/5Oc8=")</f>
        <v>#REF!</v>
      </c>
      <c r="HA18" t="e">
        <f>AND(OUTPUT!#REF!,"AAAAAH/5OdA=")</f>
        <v>#REF!</v>
      </c>
      <c r="HB18" t="e">
        <f>AND(OUTPUT!#REF!,"AAAAAH/5OdE=")</f>
        <v>#REF!</v>
      </c>
      <c r="HC18" t="e">
        <f>AND(OUTPUT!#REF!,"AAAAAH/5OdI=")</f>
        <v>#REF!</v>
      </c>
      <c r="HD18" t="e">
        <f>AND(OUTPUT!#REF!,"AAAAAH/5OdM=")</f>
        <v>#REF!</v>
      </c>
      <c r="HE18" t="e">
        <f>AND(OUTPUT!#REF!,"AAAAAH/5OdQ=")</f>
        <v>#REF!</v>
      </c>
      <c r="HF18" t="e">
        <f>AND(OUTPUT!C231,"AAAAAH/5OdU=")</f>
        <v>#VALUE!</v>
      </c>
      <c r="HG18" t="e">
        <f>AND(OUTPUT!D230,"AAAAAH/5OdY=")</f>
        <v>#VALUE!</v>
      </c>
      <c r="HH18" t="e">
        <f>AND(OUTPUT!E231,"AAAAAH/5Odc=")</f>
        <v>#VALUE!</v>
      </c>
      <c r="HI18" t="e">
        <f>AND(OUTPUT!F231,"AAAAAH/5Odg=")</f>
        <v>#VALUE!</v>
      </c>
      <c r="HJ18" t="e">
        <f>AND(OUTPUT!G231,"AAAAAH/5Odk=")</f>
        <v>#VALUE!</v>
      </c>
      <c r="HK18" t="e">
        <f>AND(OUTPUT!I230,"AAAAAH/5Odo=")</f>
        <v>#VALUE!</v>
      </c>
      <c r="HL18" t="e">
        <f>AND(OUTPUT!#REF!,"AAAAAH/5Ods=")</f>
        <v>#REF!</v>
      </c>
      <c r="HM18" t="e">
        <f>AND(OUTPUT!#REF!,"AAAAAH/5Odw=")</f>
        <v>#REF!</v>
      </c>
      <c r="HN18" t="e">
        <f>AND(OUTPUT!#REF!,"AAAAAH/5Od0=")</f>
        <v>#REF!</v>
      </c>
      <c r="HO18" t="e">
        <f>AND(OUTPUT!#REF!,"AAAAAH/5Od4=")</f>
        <v>#REF!</v>
      </c>
      <c r="HP18" t="e">
        <f>AND(OUTPUT!#REF!,"AAAAAH/5Od8=")</f>
        <v>#REF!</v>
      </c>
      <c r="HQ18" t="e">
        <f>AND(OUTPUT!#REF!,"AAAAAH/5OeA=")</f>
        <v>#REF!</v>
      </c>
      <c r="HR18" t="e">
        <f>AND(OUTPUT!#REF!,"AAAAAH/5OeE=")</f>
        <v>#REF!</v>
      </c>
      <c r="HS18" t="e">
        <f>AND(OUTPUT!C232,"AAAAAH/5OeI=")</f>
        <v>#VALUE!</v>
      </c>
      <c r="HT18" t="e">
        <f>AND(OUTPUT!D231,"AAAAAH/5OeM=")</f>
        <v>#VALUE!</v>
      </c>
      <c r="HU18" t="e">
        <f>AND(OUTPUT!E232,"AAAAAH/5OeQ=")</f>
        <v>#VALUE!</v>
      </c>
      <c r="HV18" t="e">
        <f>AND(OUTPUT!F232,"AAAAAH/5OeU=")</f>
        <v>#VALUE!</v>
      </c>
      <c r="HW18" t="e">
        <f>AND(OUTPUT!G232,"AAAAAH/5OeY=")</f>
        <v>#VALUE!</v>
      </c>
      <c r="HX18" t="e">
        <f>AND(OUTPUT!I231,"AAAAAH/5Oec=")</f>
        <v>#VALUE!</v>
      </c>
      <c r="HY18" t="e">
        <f>AND(OUTPUT!#REF!,"AAAAAH/5Oeg=")</f>
        <v>#REF!</v>
      </c>
      <c r="HZ18" t="e">
        <f>AND(OUTPUT!#REF!,"AAAAAH/5Oek=")</f>
        <v>#REF!</v>
      </c>
      <c r="IA18" t="e">
        <f>AND(OUTPUT!#REF!,"AAAAAH/5Oeo=")</f>
        <v>#REF!</v>
      </c>
      <c r="IB18" t="e">
        <f>AND(OUTPUT!#REF!,"AAAAAH/5Oes=")</f>
        <v>#REF!</v>
      </c>
      <c r="IC18" t="e">
        <f>AND(OUTPUT!#REF!,"AAAAAH/5Oew=")</f>
        <v>#REF!</v>
      </c>
      <c r="ID18" t="e">
        <f>AND(OUTPUT!#REF!,"AAAAAH/5Oe0=")</f>
        <v>#REF!</v>
      </c>
      <c r="IE18" t="e">
        <f>AND(OUTPUT!#REF!,"AAAAAH/5Oe4=")</f>
        <v>#REF!</v>
      </c>
      <c r="IF18" t="e">
        <f>AND(OUTPUT!C233,"AAAAAH/5Oe8=")</f>
        <v>#VALUE!</v>
      </c>
      <c r="IG18" t="e">
        <f>AND(OUTPUT!D232,"AAAAAH/5OfA=")</f>
        <v>#VALUE!</v>
      </c>
      <c r="IH18" t="e">
        <f>AND(OUTPUT!E233,"AAAAAH/5OfE=")</f>
        <v>#VALUE!</v>
      </c>
      <c r="II18" t="e">
        <f>AND(OUTPUT!F233,"AAAAAH/5OfI=")</f>
        <v>#VALUE!</v>
      </c>
      <c r="IJ18" t="e">
        <f>AND(OUTPUT!G233,"AAAAAH/5OfM=")</f>
        <v>#VALUE!</v>
      </c>
      <c r="IK18" t="e">
        <f>AND(OUTPUT!I232,"AAAAAH/5OfQ=")</f>
        <v>#VALUE!</v>
      </c>
      <c r="IL18" t="e">
        <f>AND(OUTPUT!#REF!,"AAAAAH/5OfU=")</f>
        <v>#REF!</v>
      </c>
      <c r="IM18" t="e">
        <f>AND(OUTPUT!#REF!,"AAAAAH/5OfY=")</f>
        <v>#REF!</v>
      </c>
      <c r="IN18" t="e">
        <f>AND(OUTPUT!#REF!,"AAAAAH/5Ofc=")</f>
        <v>#REF!</v>
      </c>
      <c r="IO18" t="e">
        <f>AND(OUTPUT!#REF!,"AAAAAH/5Ofg=")</f>
        <v>#REF!</v>
      </c>
      <c r="IP18" t="e">
        <f>AND(OUTPUT!#REF!,"AAAAAH/5Ofk=")</f>
        <v>#REF!</v>
      </c>
      <c r="IQ18" t="e">
        <f>AND(OUTPUT!#REF!,"AAAAAH/5Ofo=")</f>
        <v>#REF!</v>
      </c>
      <c r="IR18" t="e">
        <f>AND(OUTPUT!#REF!,"AAAAAH/5Ofs=")</f>
        <v>#REF!</v>
      </c>
      <c r="IS18" t="e">
        <f>AND(OUTPUT!I233,"AAAAAH/5Ofw=")</f>
        <v>#VALUE!</v>
      </c>
      <c r="IT18" t="e">
        <f>AND(OUTPUT!#REF!,"AAAAAH/5Of0=")</f>
        <v>#REF!</v>
      </c>
      <c r="IU18" t="e">
        <f>AND(OUTPUT!#REF!,"AAAAAH/5Of4=")</f>
        <v>#REF!</v>
      </c>
      <c r="IV18" t="e">
        <f>AND(OUTPUT!#REF!,"AAAAAH/5Of8=")</f>
        <v>#REF!</v>
      </c>
    </row>
    <row r="19" spans="1:256" x14ac:dyDescent="0.2">
      <c r="A19" t="e">
        <f>AND(OUTPUT!#REF!,"AAAAAD7l9wA=")</f>
        <v>#REF!</v>
      </c>
      <c r="B19" t="e">
        <f>AND(OUTPUT!#REF!,"AAAAAD7l9wE=")</f>
        <v>#REF!</v>
      </c>
      <c r="C19" t="e">
        <f>AND(OUTPUT!#REF!,"AAAAAD7l9wI=")</f>
        <v>#REF!</v>
      </c>
      <c r="D19" t="e">
        <f>AND(OUTPUT!#REF!,"AAAAAD7l9wM=")</f>
        <v>#REF!</v>
      </c>
      <c r="E19" t="e">
        <f>AND(OUTPUT!I234,"AAAAAD7l9wQ=")</f>
        <v>#VALUE!</v>
      </c>
      <c r="F19" t="e">
        <f>AND(OUTPUT!#REF!,"AAAAAD7l9wU=")</f>
        <v>#REF!</v>
      </c>
      <c r="G19" t="e">
        <f>AND(OUTPUT!#REF!,"AAAAAD7l9wY=")</f>
        <v>#REF!</v>
      </c>
      <c r="H19" t="e">
        <f>AND(OUTPUT!#REF!,"AAAAAD7l9wc=")</f>
        <v>#REF!</v>
      </c>
      <c r="I19" t="e">
        <f>AND(OUTPUT!#REF!,"AAAAAD7l9wg=")</f>
        <v>#REF!</v>
      </c>
      <c r="J19" t="e">
        <f>AND(OUTPUT!#REF!,"AAAAAD7l9wk=")</f>
        <v>#REF!</v>
      </c>
      <c r="K19" t="e">
        <f>AND(OUTPUT!#REF!,"AAAAAD7l9wo=")</f>
        <v>#REF!</v>
      </c>
      <c r="L19" t="e">
        <f>AND(OUTPUT!#REF!,"AAAAAD7l9ws=")</f>
        <v>#REF!</v>
      </c>
      <c r="M19" t="e">
        <f>AND(OUTPUT!I235,"AAAAAD7l9ww=")</f>
        <v>#VALUE!</v>
      </c>
      <c r="N19" t="e">
        <f>AND(OUTPUT!#REF!,"AAAAAD7l9w0=")</f>
        <v>#REF!</v>
      </c>
      <c r="O19" t="e">
        <f>AND(OUTPUT!#REF!,"AAAAAD7l9w4=")</f>
        <v>#REF!</v>
      </c>
      <c r="P19" t="e">
        <f>AND(OUTPUT!#REF!,"AAAAAD7l9w8=")</f>
        <v>#REF!</v>
      </c>
      <c r="Q19" t="e">
        <f>AND(OUTPUT!#REF!,"AAAAAD7l9xA=")</f>
        <v>#REF!</v>
      </c>
      <c r="R19" t="e">
        <f>AND(OUTPUT!#REF!,"AAAAAD7l9xE=")</f>
        <v>#REF!</v>
      </c>
      <c r="S19" t="e">
        <f>AND(OUTPUT!#REF!,"AAAAAD7l9xI=")</f>
        <v>#REF!</v>
      </c>
      <c r="T19" t="e">
        <f>AND(OUTPUT!#REF!,"AAAAAD7l9xM=")</f>
        <v>#REF!</v>
      </c>
      <c r="U19" t="e">
        <f>AND(OUTPUT!I236,"AAAAAD7l9xQ=")</f>
        <v>#VALUE!</v>
      </c>
      <c r="V19" t="e">
        <f>AND(OUTPUT!#REF!,"AAAAAD7l9xU=")</f>
        <v>#REF!</v>
      </c>
      <c r="W19" t="e">
        <f>AND(OUTPUT!#REF!,"AAAAAD7l9xY=")</f>
        <v>#REF!</v>
      </c>
      <c r="X19" t="e">
        <f>AND(OUTPUT!#REF!,"AAAAAD7l9xc=")</f>
        <v>#REF!</v>
      </c>
      <c r="Y19" t="e">
        <f>AND(OUTPUT!#REF!,"AAAAAD7l9xg=")</f>
        <v>#REF!</v>
      </c>
      <c r="Z19" t="e">
        <f>AND(OUTPUT!#REF!,"AAAAAD7l9xk=")</f>
        <v>#REF!</v>
      </c>
      <c r="AA19" t="e">
        <f>AND(OUTPUT!#REF!,"AAAAAD7l9xo=")</f>
        <v>#REF!</v>
      </c>
      <c r="AB19" t="e">
        <f>AND(OUTPUT!#REF!,"AAAAAD7l9xs=")</f>
        <v>#REF!</v>
      </c>
      <c r="AC19" t="e">
        <f>AND(OUTPUT!I237,"AAAAAD7l9xw=")</f>
        <v>#VALUE!</v>
      </c>
      <c r="AD19" t="e">
        <f>AND(OUTPUT!#REF!,"AAAAAD7l9x0=")</f>
        <v>#REF!</v>
      </c>
      <c r="AE19" t="e">
        <f>AND(OUTPUT!#REF!,"AAAAAD7l9x4=")</f>
        <v>#REF!</v>
      </c>
      <c r="AF19" t="e">
        <f>AND(OUTPUT!#REF!,"AAAAAD7l9x8=")</f>
        <v>#REF!</v>
      </c>
      <c r="AG19" t="e">
        <f>AND(OUTPUT!#REF!,"AAAAAD7l9yA=")</f>
        <v>#REF!</v>
      </c>
      <c r="AH19" t="e">
        <f>AND(OUTPUT!#REF!,"AAAAAD7l9yE=")</f>
        <v>#REF!</v>
      </c>
      <c r="AI19" t="e">
        <f>AND(OUTPUT!#REF!,"AAAAAD7l9yI=")</f>
        <v>#REF!</v>
      </c>
      <c r="AJ19" t="e">
        <f>AND(OUTPUT!#REF!,"AAAAAD7l9yM=")</f>
        <v>#REF!</v>
      </c>
      <c r="AK19" t="e">
        <f>AND(OUTPUT!I238,"AAAAAD7l9yQ=")</f>
        <v>#VALUE!</v>
      </c>
      <c r="AL19" t="e">
        <f>AND(OUTPUT!#REF!,"AAAAAD7l9yU=")</f>
        <v>#REF!</v>
      </c>
      <c r="AM19" t="e">
        <f>AND(OUTPUT!#REF!,"AAAAAD7l9yY=")</f>
        <v>#REF!</v>
      </c>
      <c r="AN19" t="e">
        <f>AND(OUTPUT!#REF!,"AAAAAD7l9yc=")</f>
        <v>#REF!</v>
      </c>
      <c r="AO19" t="e">
        <f>AND(OUTPUT!#REF!,"AAAAAD7l9yg=")</f>
        <v>#REF!</v>
      </c>
      <c r="AP19" t="e">
        <f>AND(OUTPUT!#REF!,"AAAAAD7l9yk=")</f>
        <v>#REF!</v>
      </c>
      <c r="AQ19" t="e">
        <f>AND(OUTPUT!#REF!,"AAAAAD7l9yo=")</f>
        <v>#REF!</v>
      </c>
      <c r="AR19" t="e">
        <f>AND(OUTPUT!#REF!,"AAAAAD7l9ys=")</f>
        <v>#REF!</v>
      </c>
      <c r="AS19" t="e">
        <f>AND(OUTPUT!I239,"AAAAAD7l9yw=")</f>
        <v>#VALUE!</v>
      </c>
      <c r="AT19" t="e">
        <f>AND(OUTPUT!#REF!,"AAAAAD7l9y0=")</f>
        <v>#REF!</v>
      </c>
      <c r="AU19" t="e">
        <f>AND(OUTPUT!#REF!,"AAAAAD7l9y4=")</f>
        <v>#REF!</v>
      </c>
      <c r="AV19" t="e">
        <f>AND(OUTPUT!#REF!,"AAAAAD7l9y8=")</f>
        <v>#REF!</v>
      </c>
      <c r="AW19" t="e">
        <f>AND(OUTPUT!#REF!,"AAAAAD7l9zA=")</f>
        <v>#REF!</v>
      </c>
      <c r="AX19" t="e">
        <f>AND(OUTPUT!#REF!,"AAAAAD7l9zE=")</f>
        <v>#REF!</v>
      </c>
      <c r="AY19" t="e">
        <f>AND(OUTPUT!#REF!,"AAAAAD7l9zI=")</f>
        <v>#REF!</v>
      </c>
      <c r="AZ19" t="e">
        <f>AND(OUTPUT!#REF!,"AAAAAD7l9zM=")</f>
        <v>#REF!</v>
      </c>
      <c r="BA19" t="e">
        <f>AND(OUTPUT!I240,"AAAAAD7l9zQ=")</f>
        <v>#VALUE!</v>
      </c>
      <c r="BB19" t="e">
        <f>AND(OUTPUT!#REF!,"AAAAAD7l9zU=")</f>
        <v>#REF!</v>
      </c>
      <c r="BC19" t="e">
        <f>AND(OUTPUT!#REF!,"AAAAAD7l9zY=")</f>
        <v>#REF!</v>
      </c>
      <c r="BD19" t="e">
        <f>AND(OUTPUT!#REF!,"AAAAAD7l9zc=")</f>
        <v>#REF!</v>
      </c>
      <c r="BE19" t="e">
        <f>AND(OUTPUT!#REF!,"AAAAAD7l9zg=")</f>
        <v>#REF!</v>
      </c>
      <c r="BF19" t="e">
        <f>AND(OUTPUT!#REF!,"AAAAAD7l9zk=")</f>
        <v>#REF!</v>
      </c>
      <c r="BG19" t="e">
        <f>AND(OUTPUT!#REF!,"AAAAAD7l9zo=")</f>
        <v>#REF!</v>
      </c>
      <c r="BH19" t="e">
        <f>AND(OUTPUT!#REF!,"AAAAAD7l9zs=")</f>
        <v>#REF!</v>
      </c>
      <c r="BI19" t="e">
        <f>AND(OUTPUT!I241,"AAAAAD7l9zw=")</f>
        <v>#VALUE!</v>
      </c>
      <c r="BJ19" t="e">
        <f>AND(OUTPUT!#REF!,"AAAAAD7l9z0=")</f>
        <v>#REF!</v>
      </c>
      <c r="BK19" t="e">
        <f>AND(OUTPUT!#REF!,"AAAAAD7l9z4=")</f>
        <v>#REF!</v>
      </c>
      <c r="BL19" t="e">
        <f>AND(OUTPUT!#REF!,"AAAAAD7l9z8=")</f>
        <v>#REF!</v>
      </c>
      <c r="BM19" t="e">
        <f>AND(OUTPUT!#REF!,"AAAAAD7l90A=")</f>
        <v>#REF!</v>
      </c>
      <c r="BN19" t="e">
        <f>AND(OUTPUT!#REF!,"AAAAAD7l90E=")</f>
        <v>#REF!</v>
      </c>
      <c r="BO19" t="e">
        <f>AND(OUTPUT!#REF!,"AAAAAD7l90I=")</f>
        <v>#REF!</v>
      </c>
      <c r="BP19" t="e">
        <f>AND(OUTPUT!#REF!,"AAAAAD7l90M=")</f>
        <v>#REF!</v>
      </c>
      <c r="BQ19" t="e">
        <f>AND(OUTPUT!I242,"AAAAAD7l90Q=")</f>
        <v>#VALUE!</v>
      </c>
      <c r="BR19" t="e">
        <f>AND(OUTPUT!#REF!,"AAAAAD7l90U=")</f>
        <v>#REF!</v>
      </c>
      <c r="BS19" t="e">
        <f>AND(OUTPUT!#REF!,"AAAAAD7l90Y=")</f>
        <v>#REF!</v>
      </c>
      <c r="BT19" t="e">
        <f>AND(OUTPUT!#REF!,"AAAAAD7l90c=")</f>
        <v>#REF!</v>
      </c>
      <c r="BU19" t="e">
        <f>AND(OUTPUT!#REF!,"AAAAAD7l90g=")</f>
        <v>#REF!</v>
      </c>
      <c r="BV19" t="e">
        <f>AND(OUTPUT!#REF!,"AAAAAD7l90k=")</f>
        <v>#REF!</v>
      </c>
      <c r="BW19" t="e">
        <f>AND(OUTPUT!#REF!,"AAAAAD7l90o=")</f>
        <v>#REF!</v>
      </c>
      <c r="BX19" t="e">
        <f>AND(OUTPUT!#REF!,"AAAAAD7l90s=")</f>
        <v>#REF!</v>
      </c>
      <c r="BY19">
        <f>IF(OUTPUT!243:243,"AAAAAD7l90w=",0)</f>
        <v>0</v>
      </c>
      <c r="BZ19" t="e">
        <f>AND(OUTPUT!I243,"AAAAAD7l900=")</f>
        <v>#VALUE!</v>
      </c>
      <c r="CA19" t="e">
        <f>AND(OUTPUT!#REF!,"AAAAAD7l904=")</f>
        <v>#REF!</v>
      </c>
      <c r="CB19" t="e">
        <f>AND(OUTPUT!#REF!,"AAAAAD7l908=")</f>
        <v>#REF!</v>
      </c>
      <c r="CC19" t="e">
        <f>AND(OUTPUT!#REF!,"AAAAAD7l91A=")</f>
        <v>#REF!</v>
      </c>
      <c r="CD19" t="e">
        <f>AND(OUTPUT!#REF!,"AAAAAD7l91E=")</f>
        <v>#REF!</v>
      </c>
      <c r="CE19" t="e">
        <f>AND(OUTPUT!#REF!,"AAAAAD7l91I=")</f>
        <v>#REF!</v>
      </c>
      <c r="CF19" t="e">
        <f>AND(OUTPUT!#REF!,"AAAAAD7l91M=")</f>
        <v>#REF!</v>
      </c>
      <c r="CG19" t="e">
        <f>AND(OUTPUT!#REF!,"AAAAAD7l91Q=")</f>
        <v>#REF!</v>
      </c>
      <c r="CH19">
        <f>IF(OUTPUT!244:244,"AAAAAD7l91U=",0)</f>
        <v>0</v>
      </c>
      <c r="CI19" t="e">
        <f>AND(OUTPUT!I244,"AAAAAD7l91Y=")</f>
        <v>#VALUE!</v>
      </c>
      <c r="CJ19" t="e">
        <f>AND(OUTPUT!#REF!,"AAAAAD7l91c=")</f>
        <v>#REF!</v>
      </c>
      <c r="CK19" t="e">
        <f>AND(OUTPUT!#REF!,"AAAAAD7l91g=")</f>
        <v>#REF!</v>
      </c>
      <c r="CL19" t="e">
        <f>AND(OUTPUT!#REF!,"AAAAAD7l91k=")</f>
        <v>#REF!</v>
      </c>
      <c r="CM19" t="e">
        <f>AND(OUTPUT!#REF!,"AAAAAD7l91o=")</f>
        <v>#REF!</v>
      </c>
      <c r="CN19" t="e">
        <f>AND(OUTPUT!#REF!,"AAAAAD7l91s=")</f>
        <v>#REF!</v>
      </c>
      <c r="CO19" t="e">
        <f>AND(OUTPUT!#REF!,"AAAAAD7l91w=")</f>
        <v>#REF!</v>
      </c>
      <c r="CP19" t="e">
        <f>AND(OUTPUT!#REF!,"AAAAAD7l910=")</f>
        <v>#REF!</v>
      </c>
      <c r="CQ19">
        <f>IF(OUTPUT!245:245,"AAAAAD7l914=",0)</f>
        <v>0</v>
      </c>
      <c r="CR19" t="e">
        <f>AND(OUTPUT!I245,"AAAAAD7l918=")</f>
        <v>#VALUE!</v>
      </c>
      <c r="CS19" t="e">
        <f>AND(OUTPUT!#REF!,"AAAAAD7l92A=")</f>
        <v>#REF!</v>
      </c>
      <c r="CT19" t="e">
        <f>AND(OUTPUT!#REF!,"AAAAAD7l92E=")</f>
        <v>#REF!</v>
      </c>
      <c r="CU19" t="e">
        <f>AND(OUTPUT!#REF!,"AAAAAD7l92I=")</f>
        <v>#REF!</v>
      </c>
      <c r="CV19" t="e">
        <f>AND(OUTPUT!#REF!,"AAAAAD7l92M=")</f>
        <v>#REF!</v>
      </c>
      <c r="CW19" t="e">
        <f>AND(OUTPUT!#REF!,"AAAAAD7l92Q=")</f>
        <v>#REF!</v>
      </c>
      <c r="CX19" t="e">
        <f>AND(OUTPUT!#REF!,"AAAAAD7l92U=")</f>
        <v>#REF!</v>
      </c>
      <c r="CY19" t="e">
        <f>AND(OUTPUT!#REF!,"AAAAAD7l92Y=")</f>
        <v>#REF!</v>
      </c>
      <c r="CZ19">
        <f>IF(OUTPUT!246:246,"AAAAAD7l92c=",0)</f>
        <v>0</v>
      </c>
      <c r="DA19" t="e">
        <f>AND(OUTPUT!I246,"AAAAAD7l92g=")</f>
        <v>#VALUE!</v>
      </c>
      <c r="DB19" t="e">
        <f>AND(OUTPUT!#REF!,"AAAAAD7l92k=")</f>
        <v>#REF!</v>
      </c>
      <c r="DC19" t="e">
        <f>AND(OUTPUT!#REF!,"AAAAAD7l92o=")</f>
        <v>#REF!</v>
      </c>
      <c r="DD19" t="e">
        <f>AND(OUTPUT!#REF!,"AAAAAD7l92s=")</f>
        <v>#REF!</v>
      </c>
      <c r="DE19" t="e">
        <f>AND(OUTPUT!#REF!,"AAAAAD7l92w=")</f>
        <v>#REF!</v>
      </c>
      <c r="DF19" t="e">
        <f>AND(OUTPUT!#REF!,"AAAAAD7l920=")</f>
        <v>#REF!</v>
      </c>
      <c r="DG19" t="e">
        <f>AND(OUTPUT!#REF!,"AAAAAD7l924=")</f>
        <v>#REF!</v>
      </c>
      <c r="DH19" t="e">
        <f>AND(OUTPUT!#REF!,"AAAAAD7l928=")</f>
        <v>#REF!</v>
      </c>
      <c r="DI19">
        <f>IF(OUTPUT!247:247,"AAAAAD7l93A=",0)</f>
        <v>0</v>
      </c>
      <c r="DJ19" t="e">
        <f>AND(OUTPUT!I247,"AAAAAD7l93E=")</f>
        <v>#VALUE!</v>
      </c>
      <c r="DK19" t="e">
        <f>AND(OUTPUT!#REF!,"AAAAAD7l93I=")</f>
        <v>#REF!</v>
      </c>
      <c r="DL19" t="e">
        <f>AND(OUTPUT!#REF!,"AAAAAD7l93M=")</f>
        <v>#REF!</v>
      </c>
      <c r="DM19" t="e">
        <f>AND(OUTPUT!#REF!,"AAAAAD7l93Q=")</f>
        <v>#REF!</v>
      </c>
      <c r="DN19" t="e">
        <f>AND(OUTPUT!#REF!,"AAAAAD7l93U=")</f>
        <v>#REF!</v>
      </c>
      <c r="DO19" t="e">
        <f>AND(OUTPUT!#REF!,"AAAAAD7l93Y=")</f>
        <v>#REF!</v>
      </c>
      <c r="DP19" t="e">
        <f>AND(OUTPUT!#REF!,"AAAAAD7l93c=")</f>
        <v>#REF!</v>
      </c>
      <c r="DQ19" t="e">
        <f>AND(OUTPUT!#REF!,"AAAAAD7l93g=")</f>
        <v>#REF!</v>
      </c>
      <c r="DR19">
        <f>IF(OUTPUT!248:248,"AAAAAD7l93k=",0)</f>
        <v>0</v>
      </c>
      <c r="DS19" t="e">
        <f>AND(OUTPUT!I248,"AAAAAD7l93o=")</f>
        <v>#VALUE!</v>
      </c>
      <c r="DT19" t="e">
        <f>AND(OUTPUT!#REF!,"AAAAAD7l93s=")</f>
        <v>#REF!</v>
      </c>
      <c r="DU19" t="e">
        <f>AND(OUTPUT!#REF!,"AAAAAD7l93w=")</f>
        <v>#REF!</v>
      </c>
      <c r="DV19" t="e">
        <f>AND(OUTPUT!#REF!,"AAAAAD7l930=")</f>
        <v>#REF!</v>
      </c>
      <c r="DW19" t="e">
        <f>AND(OUTPUT!#REF!,"AAAAAD7l934=")</f>
        <v>#REF!</v>
      </c>
      <c r="DX19" t="e">
        <f>AND(OUTPUT!#REF!,"AAAAAD7l938=")</f>
        <v>#REF!</v>
      </c>
      <c r="DY19" t="e">
        <f>AND(OUTPUT!#REF!,"AAAAAD7l94A=")</f>
        <v>#REF!</v>
      </c>
      <c r="DZ19" t="e">
        <f>AND(OUTPUT!#REF!,"AAAAAD7l94E=")</f>
        <v>#REF!</v>
      </c>
      <c r="EA19">
        <f>IF(OUTPUT!249:249,"AAAAAD7l94I=",0)</f>
        <v>0</v>
      </c>
      <c r="EB19" t="e">
        <f>AND(OUTPUT!I249,"AAAAAD7l94M=")</f>
        <v>#VALUE!</v>
      </c>
      <c r="EC19" t="e">
        <f>AND(OUTPUT!#REF!,"AAAAAD7l94Q=")</f>
        <v>#REF!</v>
      </c>
      <c r="ED19" t="e">
        <f>AND(OUTPUT!#REF!,"AAAAAD7l94U=")</f>
        <v>#REF!</v>
      </c>
      <c r="EE19" t="e">
        <f>AND(OUTPUT!#REF!,"AAAAAD7l94Y=")</f>
        <v>#REF!</v>
      </c>
      <c r="EF19" t="e">
        <f>AND(OUTPUT!#REF!,"AAAAAD7l94c=")</f>
        <v>#REF!</v>
      </c>
      <c r="EG19" t="e">
        <f>AND(OUTPUT!#REF!,"AAAAAD7l94g=")</f>
        <v>#REF!</v>
      </c>
      <c r="EH19" t="e">
        <f>AND(OUTPUT!#REF!,"AAAAAD7l94k=")</f>
        <v>#REF!</v>
      </c>
      <c r="EI19" t="e">
        <f>AND(OUTPUT!#REF!,"AAAAAD7l94o=")</f>
        <v>#REF!</v>
      </c>
      <c r="EJ19">
        <f>IF(OUTPUT!250:250,"AAAAAD7l94s=",0)</f>
        <v>0</v>
      </c>
      <c r="EK19" t="e">
        <f>AND(OUTPUT!I250,"AAAAAD7l94w=")</f>
        <v>#VALUE!</v>
      </c>
      <c r="EL19" t="e">
        <f>AND(OUTPUT!#REF!,"AAAAAD7l940=")</f>
        <v>#REF!</v>
      </c>
      <c r="EM19" t="e">
        <f>AND(OUTPUT!#REF!,"AAAAAD7l944=")</f>
        <v>#REF!</v>
      </c>
      <c r="EN19" t="e">
        <f>AND(OUTPUT!#REF!,"AAAAAD7l948=")</f>
        <v>#REF!</v>
      </c>
      <c r="EO19" t="e">
        <f>AND(OUTPUT!#REF!,"AAAAAD7l95A=")</f>
        <v>#REF!</v>
      </c>
      <c r="EP19" t="e">
        <f>AND(OUTPUT!#REF!,"AAAAAD7l95E=")</f>
        <v>#REF!</v>
      </c>
      <c r="EQ19" t="e">
        <f>AND(OUTPUT!#REF!,"AAAAAD7l95I=")</f>
        <v>#REF!</v>
      </c>
      <c r="ER19" t="e">
        <f>AND(OUTPUT!#REF!,"AAAAAD7l95M=")</f>
        <v>#REF!</v>
      </c>
      <c r="ES19">
        <f>IF(OUTPUT!251:251,"AAAAAD7l95Q=",0)</f>
        <v>0</v>
      </c>
      <c r="ET19" t="e">
        <f>AND(OUTPUT!I251,"AAAAAD7l95U=")</f>
        <v>#VALUE!</v>
      </c>
      <c r="EU19" t="e">
        <f>AND(OUTPUT!#REF!,"AAAAAD7l95Y=")</f>
        <v>#REF!</v>
      </c>
      <c r="EV19" t="e">
        <f>AND(OUTPUT!#REF!,"AAAAAD7l95c=")</f>
        <v>#REF!</v>
      </c>
      <c r="EW19" t="e">
        <f>AND(OUTPUT!#REF!,"AAAAAD7l95g=")</f>
        <v>#REF!</v>
      </c>
      <c r="EX19" t="e">
        <f>AND(OUTPUT!#REF!,"AAAAAD7l95k=")</f>
        <v>#REF!</v>
      </c>
      <c r="EY19" t="e">
        <f>AND(OUTPUT!#REF!,"AAAAAD7l95o=")</f>
        <v>#REF!</v>
      </c>
      <c r="EZ19" t="e">
        <f>AND(OUTPUT!#REF!,"AAAAAD7l95s=")</f>
        <v>#REF!</v>
      </c>
      <c r="FA19" t="e">
        <f>AND(OUTPUT!#REF!,"AAAAAD7l95w=")</f>
        <v>#REF!</v>
      </c>
      <c r="FB19">
        <f>IF(OUTPUT!252:252,"AAAAAD7l950=",0)</f>
        <v>0</v>
      </c>
      <c r="FC19" t="e">
        <f>AND(OUTPUT!I252,"AAAAAD7l954=")</f>
        <v>#VALUE!</v>
      </c>
      <c r="FD19" t="e">
        <f>AND(OUTPUT!#REF!,"AAAAAD7l958=")</f>
        <v>#REF!</v>
      </c>
      <c r="FE19" t="e">
        <f>AND(OUTPUT!#REF!,"AAAAAD7l96A=")</f>
        <v>#REF!</v>
      </c>
      <c r="FF19" t="e">
        <f>AND(OUTPUT!#REF!,"AAAAAD7l96E=")</f>
        <v>#REF!</v>
      </c>
      <c r="FG19" t="e">
        <f>AND(OUTPUT!#REF!,"AAAAAD7l96I=")</f>
        <v>#REF!</v>
      </c>
      <c r="FH19" t="e">
        <f>AND(OUTPUT!#REF!,"AAAAAD7l96M=")</f>
        <v>#REF!</v>
      </c>
      <c r="FI19" t="e">
        <f>AND(OUTPUT!#REF!,"AAAAAD7l96Q=")</f>
        <v>#REF!</v>
      </c>
      <c r="FJ19" t="e">
        <f>AND(OUTPUT!#REF!,"AAAAAD7l96U=")</f>
        <v>#REF!</v>
      </c>
      <c r="FK19">
        <f>IF(OUTPUT!253:253,"AAAAAD7l96Y=",0)</f>
        <v>0</v>
      </c>
      <c r="FL19" t="e">
        <f>AND(OUTPUT!I253,"AAAAAD7l96c=")</f>
        <v>#VALUE!</v>
      </c>
      <c r="FM19" t="e">
        <f>AND(OUTPUT!#REF!,"AAAAAD7l96g=")</f>
        <v>#REF!</v>
      </c>
      <c r="FN19" t="e">
        <f>AND(OUTPUT!#REF!,"AAAAAD7l96k=")</f>
        <v>#REF!</v>
      </c>
      <c r="FO19" t="e">
        <f>AND(OUTPUT!#REF!,"AAAAAD7l96o=")</f>
        <v>#REF!</v>
      </c>
      <c r="FP19" t="e">
        <f>AND(OUTPUT!#REF!,"AAAAAD7l96s=")</f>
        <v>#REF!</v>
      </c>
      <c r="FQ19" t="e">
        <f>AND(OUTPUT!#REF!,"AAAAAD7l96w=")</f>
        <v>#REF!</v>
      </c>
      <c r="FR19" t="e">
        <f>AND(OUTPUT!#REF!,"AAAAAD7l960=")</f>
        <v>#REF!</v>
      </c>
      <c r="FS19" t="e">
        <f>AND(OUTPUT!#REF!,"AAAAAD7l964=")</f>
        <v>#REF!</v>
      </c>
      <c r="FT19">
        <f>IF(OUTPUT!254:254,"AAAAAD7l968=",0)</f>
        <v>0</v>
      </c>
      <c r="FU19" t="e">
        <f>AND(OUTPUT!I254,"AAAAAD7l97A=")</f>
        <v>#VALUE!</v>
      </c>
      <c r="FV19" t="e">
        <f>AND(OUTPUT!#REF!,"AAAAAD7l97E=")</f>
        <v>#REF!</v>
      </c>
      <c r="FW19" t="e">
        <f>AND(OUTPUT!#REF!,"AAAAAD7l97I=")</f>
        <v>#REF!</v>
      </c>
      <c r="FX19" t="e">
        <f>AND(OUTPUT!#REF!,"AAAAAD7l97M=")</f>
        <v>#REF!</v>
      </c>
      <c r="FY19" t="e">
        <f>AND(OUTPUT!#REF!,"AAAAAD7l97Q=")</f>
        <v>#REF!</v>
      </c>
      <c r="FZ19" t="e">
        <f>AND(OUTPUT!#REF!,"AAAAAD7l97U=")</f>
        <v>#REF!</v>
      </c>
      <c r="GA19" t="e">
        <f>AND(OUTPUT!#REF!,"AAAAAD7l97Y=")</f>
        <v>#REF!</v>
      </c>
      <c r="GB19" t="e">
        <f>AND(OUTPUT!#REF!,"AAAAAD7l97c=")</f>
        <v>#REF!</v>
      </c>
      <c r="GC19">
        <f>IF(OUTPUT!255:255,"AAAAAD7l97g=",0)</f>
        <v>0</v>
      </c>
      <c r="GD19" t="e">
        <f>AND(OUTPUT!I255,"AAAAAD7l97k=")</f>
        <v>#VALUE!</v>
      </c>
      <c r="GE19" t="e">
        <f>AND(OUTPUT!#REF!,"AAAAAD7l97o=")</f>
        <v>#REF!</v>
      </c>
      <c r="GF19" t="e">
        <f>AND(OUTPUT!#REF!,"AAAAAD7l97s=")</f>
        <v>#REF!</v>
      </c>
      <c r="GG19" t="e">
        <f>AND(OUTPUT!#REF!,"AAAAAD7l97w=")</f>
        <v>#REF!</v>
      </c>
      <c r="GH19" t="e">
        <f>AND(OUTPUT!#REF!,"AAAAAD7l970=")</f>
        <v>#REF!</v>
      </c>
      <c r="GI19" t="e">
        <f>AND(OUTPUT!#REF!,"AAAAAD7l974=")</f>
        <v>#REF!</v>
      </c>
      <c r="GJ19" t="e">
        <f>AND(OUTPUT!#REF!,"AAAAAD7l978=")</f>
        <v>#REF!</v>
      </c>
      <c r="GK19" t="e">
        <f>AND(OUTPUT!#REF!,"AAAAAD7l98A=")</f>
        <v>#REF!</v>
      </c>
      <c r="GL19">
        <f>IF(OUTPUT!256:256,"AAAAAD7l98E=",0)</f>
        <v>0</v>
      </c>
      <c r="GM19" t="e">
        <f>AND(OUTPUT!I256,"AAAAAD7l98I=")</f>
        <v>#VALUE!</v>
      </c>
      <c r="GN19" t="e">
        <f>AND(OUTPUT!#REF!,"AAAAAD7l98M=")</f>
        <v>#REF!</v>
      </c>
      <c r="GO19" t="e">
        <f>AND(OUTPUT!#REF!,"AAAAAD7l98Q=")</f>
        <v>#REF!</v>
      </c>
      <c r="GP19" t="e">
        <f>AND(OUTPUT!#REF!,"AAAAAD7l98U=")</f>
        <v>#REF!</v>
      </c>
      <c r="GQ19" t="e">
        <f>AND(OUTPUT!#REF!,"AAAAAD7l98Y=")</f>
        <v>#REF!</v>
      </c>
      <c r="GR19" t="e">
        <f>AND(OUTPUT!#REF!,"AAAAAD7l98c=")</f>
        <v>#REF!</v>
      </c>
      <c r="GS19" t="e">
        <f>AND(OUTPUT!#REF!,"AAAAAD7l98g=")</f>
        <v>#REF!</v>
      </c>
      <c r="GT19" t="e">
        <f>AND(OUTPUT!#REF!,"AAAAAD7l98k=")</f>
        <v>#REF!</v>
      </c>
      <c r="GU19">
        <f>IF(OUTPUT!257:257,"AAAAAD7l98o=",0)</f>
        <v>0</v>
      </c>
      <c r="GV19" t="e">
        <f>AND(OUTPUT!I257,"AAAAAD7l98s=")</f>
        <v>#VALUE!</v>
      </c>
      <c r="GW19" t="e">
        <f>AND(OUTPUT!#REF!,"AAAAAD7l98w=")</f>
        <v>#REF!</v>
      </c>
      <c r="GX19" t="e">
        <f>AND(OUTPUT!#REF!,"AAAAAD7l980=")</f>
        <v>#REF!</v>
      </c>
      <c r="GY19" t="e">
        <f>AND(OUTPUT!#REF!,"AAAAAD7l984=")</f>
        <v>#REF!</v>
      </c>
      <c r="GZ19" t="e">
        <f>AND(OUTPUT!#REF!,"AAAAAD7l988=")</f>
        <v>#REF!</v>
      </c>
      <c r="HA19" t="e">
        <f>AND(OUTPUT!#REF!,"AAAAAD7l99A=")</f>
        <v>#REF!</v>
      </c>
      <c r="HB19" t="e">
        <f>AND(OUTPUT!#REF!,"AAAAAD7l99E=")</f>
        <v>#REF!</v>
      </c>
      <c r="HC19" t="e">
        <f>AND(OUTPUT!#REF!,"AAAAAD7l99I=")</f>
        <v>#REF!</v>
      </c>
      <c r="HD19">
        <f>IF(OUTPUT!258:258,"AAAAAD7l99M=",0)</f>
        <v>0</v>
      </c>
      <c r="HE19" t="e">
        <f>AND(OUTPUT!I258,"AAAAAD7l99Q=")</f>
        <v>#VALUE!</v>
      </c>
      <c r="HF19" t="e">
        <f>AND(OUTPUT!#REF!,"AAAAAD7l99U=")</f>
        <v>#REF!</v>
      </c>
      <c r="HG19" t="e">
        <f>AND(OUTPUT!#REF!,"AAAAAD7l99Y=")</f>
        <v>#REF!</v>
      </c>
      <c r="HH19" t="e">
        <f>AND(OUTPUT!#REF!,"AAAAAD7l99c=")</f>
        <v>#REF!</v>
      </c>
      <c r="HI19" t="e">
        <f>AND(OUTPUT!#REF!,"AAAAAD7l99g=")</f>
        <v>#REF!</v>
      </c>
      <c r="HJ19" t="e">
        <f>AND(OUTPUT!#REF!,"AAAAAD7l99k=")</f>
        <v>#REF!</v>
      </c>
      <c r="HK19" t="e">
        <f>AND(OUTPUT!#REF!,"AAAAAD7l99o=")</f>
        <v>#REF!</v>
      </c>
      <c r="HL19" t="e">
        <f>AND(OUTPUT!#REF!,"AAAAAD7l99s=")</f>
        <v>#REF!</v>
      </c>
      <c r="HM19">
        <f>IF(OUTPUT!259:259,"AAAAAD7l99w=",0)</f>
        <v>0</v>
      </c>
      <c r="HN19" t="e">
        <f>AND(OUTPUT!C260,"AAAAAD7l990=")</f>
        <v>#VALUE!</v>
      </c>
      <c r="HO19" t="e">
        <f>AND(OUTPUT!D259,"AAAAAD7l994=")</f>
        <v>#VALUE!</v>
      </c>
      <c r="HP19" t="e">
        <f>AND(OUTPUT!E260,"AAAAAD7l998=")</f>
        <v>#VALUE!</v>
      </c>
      <c r="HQ19" t="e">
        <f>AND(OUTPUT!F260,"AAAAAD7l9+A=")</f>
        <v>#VALUE!</v>
      </c>
      <c r="HR19" t="e">
        <f>AND(OUTPUT!G260,"AAAAAD7l9+E=")</f>
        <v>#VALUE!</v>
      </c>
      <c r="HS19" t="e">
        <f>AND(OUTPUT!I259,"AAAAAD7l9+I=")</f>
        <v>#VALUE!</v>
      </c>
      <c r="HT19" t="e">
        <f>AND(OUTPUT!#REF!,"AAAAAD7l9+M=")</f>
        <v>#REF!</v>
      </c>
      <c r="HU19" t="e">
        <f>AND(OUTPUT!#REF!,"AAAAAD7l9+Q=")</f>
        <v>#REF!</v>
      </c>
      <c r="HV19" t="e">
        <f>AND(OUTPUT!#REF!,"AAAAAD7l9+U=")</f>
        <v>#REF!</v>
      </c>
      <c r="HW19" t="e">
        <f>AND(OUTPUT!#REF!,"AAAAAD7l9+Y=")</f>
        <v>#REF!</v>
      </c>
      <c r="HX19" t="e">
        <f>AND(OUTPUT!#REF!,"AAAAAD7l9+c=")</f>
        <v>#REF!</v>
      </c>
      <c r="HY19" t="e">
        <f>AND(OUTPUT!#REF!,"AAAAAD7l9+g=")</f>
        <v>#REF!</v>
      </c>
      <c r="HZ19" t="e">
        <f>AND(OUTPUT!#REF!,"AAAAAD7l9+k=")</f>
        <v>#REF!</v>
      </c>
      <c r="IA19">
        <f>IF(OUTPUT!260:260,"AAAAAD7l9+o=",0)</f>
        <v>0</v>
      </c>
      <c r="IB19" t="e">
        <f>AND(OUTPUT!C261,"AAAAAD7l9+s=")</f>
        <v>#VALUE!</v>
      </c>
      <c r="IC19" t="e">
        <f>AND(OUTPUT!D260,"AAAAAD7l9+w=")</f>
        <v>#VALUE!</v>
      </c>
      <c r="ID19" t="e">
        <f>AND(OUTPUT!E261,"AAAAAD7l9+0=")</f>
        <v>#VALUE!</v>
      </c>
      <c r="IE19" t="e">
        <f>AND(OUTPUT!F261,"AAAAAD7l9+4=")</f>
        <v>#VALUE!</v>
      </c>
      <c r="IF19" t="e">
        <f>AND(OUTPUT!G261,"AAAAAD7l9+8=")</f>
        <v>#VALUE!</v>
      </c>
      <c r="IG19" t="e">
        <f>AND(OUTPUT!I260,"AAAAAD7l9/A=")</f>
        <v>#VALUE!</v>
      </c>
      <c r="IH19" t="e">
        <f>AND(OUTPUT!#REF!,"AAAAAD7l9/E=")</f>
        <v>#REF!</v>
      </c>
      <c r="II19" t="e">
        <f>AND(OUTPUT!#REF!,"AAAAAD7l9/I=")</f>
        <v>#REF!</v>
      </c>
      <c r="IJ19" t="e">
        <f>AND(OUTPUT!#REF!,"AAAAAD7l9/M=")</f>
        <v>#REF!</v>
      </c>
      <c r="IK19" t="e">
        <f>AND(OUTPUT!#REF!,"AAAAAD7l9/Q=")</f>
        <v>#REF!</v>
      </c>
      <c r="IL19" t="e">
        <f>AND(OUTPUT!#REF!,"AAAAAD7l9/U=")</f>
        <v>#REF!</v>
      </c>
      <c r="IM19" t="e">
        <f>AND(OUTPUT!#REF!,"AAAAAD7l9/Y=")</f>
        <v>#REF!</v>
      </c>
      <c r="IN19" t="e">
        <f>AND(OUTPUT!#REF!,"AAAAAD7l9/c=")</f>
        <v>#REF!</v>
      </c>
      <c r="IO19">
        <f>IF(OUTPUT!261:261,"AAAAAD7l9/g=",0)</f>
        <v>0</v>
      </c>
      <c r="IP19" t="e">
        <f>AND(OUTPUT!C262,"AAAAAD7l9/k=")</f>
        <v>#VALUE!</v>
      </c>
      <c r="IQ19" t="e">
        <f>AND(OUTPUT!D261,"AAAAAD7l9/o=")</f>
        <v>#VALUE!</v>
      </c>
      <c r="IR19" t="e">
        <f>AND(OUTPUT!E262,"AAAAAD7l9/s=")</f>
        <v>#VALUE!</v>
      </c>
      <c r="IS19" t="e">
        <f>AND(OUTPUT!F262,"AAAAAD7l9/w=")</f>
        <v>#VALUE!</v>
      </c>
      <c r="IT19" t="e">
        <f>AND(OUTPUT!G262,"AAAAAD7l9/0=")</f>
        <v>#VALUE!</v>
      </c>
      <c r="IU19" t="e">
        <f>AND(OUTPUT!I261,"AAAAAD7l9/4=")</f>
        <v>#VALUE!</v>
      </c>
      <c r="IV19" t="e">
        <f>AND(OUTPUT!#REF!,"AAAAAD7l9/8=")</f>
        <v>#REF!</v>
      </c>
    </row>
    <row r="20" spans="1:256" x14ac:dyDescent="0.2">
      <c r="A20" t="e">
        <f>AND(OUTPUT!#REF!,"AAAAAH1f1wA=")</f>
        <v>#REF!</v>
      </c>
      <c r="B20" t="e">
        <f>AND(OUTPUT!#REF!,"AAAAAH1f1wE=")</f>
        <v>#REF!</v>
      </c>
      <c r="C20" t="e">
        <f>AND(OUTPUT!#REF!,"AAAAAH1f1wI=")</f>
        <v>#REF!</v>
      </c>
      <c r="D20" t="e">
        <f>AND(OUTPUT!#REF!,"AAAAAH1f1wM=")</f>
        <v>#REF!</v>
      </c>
      <c r="E20" t="e">
        <f>AND(OUTPUT!#REF!,"AAAAAH1f1wQ=")</f>
        <v>#REF!</v>
      </c>
      <c r="F20" t="e">
        <f>AND(OUTPUT!#REF!,"AAAAAH1f1wU=")</f>
        <v>#REF!</v>
      </c>
      <c r="G20">
        <f>IF(OUTPUT!262:262,"AAAAAH1f1wY=",0)</f>
        <v>0</v>
      </c>
      <c r="H20" t="e">
        <f>AND(OUTPUT!C263,"AAAAAH1f1wc=")</f>
        <v>#VALUE!</v>
      </c>
      <c r="I20" t="e">
        <f>AND(OUTPUT!D262,"AAAAAH1f1wg=")</f>
        <v>#VALUE!</v>
      </c>
      <c r="J20" t="e">
        <f>AND(OUTPUT!E263,"AAAAAH1f1wk=")</f>
        <v>#VALUE!</v>
      </c>
      <c r="K20" t="e">
        <f>AND(OUTPUT!F263,"AAAAAH1f1wo=")</f>
        <v>#VALUE!</v>
      </c>
      <c r="L20" t="e">
        <f>AND(OUTPUT!G263,"AAAAAH1f1ws=")</f>
        <v>#VALUE!</v>
      </c>
      <c r="M20" t="e">
        <f>AND(OUTPUT!I262,"AAAAAH1f1ww=")</f>
        <v>#VALUE!</v>
      </c>
      <c r="N20" t="e">
        <f>AND(OUTPUT!#REF!,"AAAAAH1f1w0=")</f>
        <v>#REF!</v>
      </c>
      <c r="O20" t="e">
        <f>AND(OUTPUT!#REF!,"AAAAAH1f1w4=")</f>
        <v>#REF!</v>
      </c>
      <c r="P20" t="e">
        <f>AND(OUTPUT!#REF!,"AAAAAH1f1w8=")</f>
        <v>#REF!</v>
      </c>
      <c r="Q20" t="e">
        <f>AND(OUTPUT!#REF!,"AAAAAH1f1xA=")</f>
        <v>#REF!</v>
      </c>
      <c r="R20" t="e">
        <f>AND(OUTPUT!#REF!,"AAAAAH1f1xE=")</f>
        <v>#REF!</v>
      </c>
      <c r="S20" t="e">
        <f>AND(OUTPUT!#REF!,"AAAAAH1f1xI=")</f>
        <v>#REF!</v>
      </c>
      <c r="T20" t="e">
        <f>AND(OUTPUT!#REF!,"AAAAAH1f1xM=")</f>
        <v>#REF!</v>
      </c>
      <c r="U20">
        <f>IF(OUTPUT!263:263,"AAAAAH1f1xQ=",0)</f>
        <v>0</v>
      </c>
      <c r="V20" t="e">
        <f>AND(OUTPUT!C264,"AAAAAH1f1xU=")</f>
        <v>#VALUE!</v>
      </c>
      <c r="W20" t="e">
        <f>AND(OUTPUT!D263,"AAAAAH1f1xY=")</f>
        <v>#VALUE!</v>
      </c>
      <c r="X20" t="e">
        <f>AND(OUTPUT!E264,"AAAAAH1f1xc=")</f>
        <v>#VALUE!</v>
      </c>
      <c r="Y20" t="e">
        <f>AND(OUTPUT!F264,"AAAAAH1f1xg=")</f>
        <v>#VALUE!</v>
      </c>
      <c r="Z20" t="e">
        <f>AND(OUTPUT!G264,"AAAAAH1f1xk=")</f>
        <v>#VALUE!</v>
      </c>
      <c r="AA20" t="e">
        <f>AND(OUTPUT!I263,"AAAAAH1f1xo=")</f>
        <v>#VALUE!</v>
      </c>
      <c r="AB20" t="e">
        <f>AND(OUTPUT!#REF!,"AAAAAH1f1xs=")</f>
        <v>#REF!</v>
      </c>
      <c r="AC20" t="e">
        <f>AND(OUTPUT!#REF!,"AAAAAH1f1xw=")</f>
        <v>#REF!</v>
      </c>
      <c r="AD20" t="e">
        <f>AND(OUTPUT!#REF!,"AAAAAH1f1x0=")</f>
        <v>#REF!</v>
      </c>
      <c r="AE20" t="e">
        <f>AND(OUTPUT!#REF!,"AAAAAH1f1x4=")</f>
        <v>#REF!</v>
      </c>
      <c r="AF20" t="e">
        <f>AND(OUTPUT!#REF!,"AAAAAH1f1x8=")</f>
        <v>#REF!</v>
      </c>
      <c r="AG20" t="e">
        <f>AND(OUTPUT!#REF!,"AAAAAH1f1yA=")</f>
        <v>#REF!</v>
      </c>
      <c r="AH20" t="e">
        <f>AND(OUTPUT!#REF!,"AAAAAH1f1yE=")</f>
        <v>#REF!</v>
      </c>
      <c r="AI20">
        <f>IF(OUTPUT!264:264,"AAAAAH1f1yI=",0)</f>
        <v>0</v>
      </c>
      <c r="AJ20" t="e">
        <f>AND(OUTPUT!C265,"AAAAAH1f1yM=")</f>
        <v>#VALUE!</v>
      </c>
      <c r="AK20" t="e">
        <f>AND(OUTPUT!D264,"AAAAAH1f1yQ=")</f>
        <v>#VALUE!</v>
      </c>
      <c r="AL20" t="e">
        <f>AND(OUTPUT!E265,"AAAAAH1f1yU=")</f>
        <v>#VALUE!</v>
      </c>
      <c r="AM20" t="e">
        <f>AND(OUTPUT!F265,"AAAAAH1f1yY=")</f>
        <v>#VALUE!</v>
      </c>
      <c r="AN20" t="e">
        <f>AND(OUTPUT!G265,"AAAAAH1f1yc=")</f>
        <v>#VALUE!</v>
      </c>
      <c r="AO20" t="e">
        <f>AND(OUTPUT!I264,"AAAAAH1f1yg=")</f>
        <v>#VALUE!</v>
      </c>
      <c r="AP20" t="e">
        <f>AND(OUTPUT!#REF!,"AAAAAH1f1yk=")</f>
        <v>#REF!</v>
      </c>
      <c r="AQ20" t="e">
        <f>AND(OUTPUT!#REF!,"AAAAAH1f1yo=")</f>
        <v>#REF!</v>
      </c>
      <c r="AR20" t="e">
        <f>AND(OUTPUT!#REF!,"AAAAAH1f1ys=")</f>
        <v>#REF!</v>
      </c>
      <c r="AS20" t="e">
        <f>AND(OUTPUT!#REF!,"AAAAAH1f1yw=")</f>
        <v>#REF!</v>
      </c>
      <c r="AT20" t="e">
        <f>AND(OUTPUT!#REF!,"AAAAAH1f1y0=")</f>
        <v>#REF!</v>
      </c>
      <c r="AU20" t="e">
        <f>AND(OUTPUT!#REF!,"AAAAAH1f1y4=")</f>
        <v>#REF!</v>
      </c>
      <c r="AV20" t="e">
        <f>AND(OUTPUT!#REF!,"AAAAAH1f1y8=")</f>
        <v>#REF!</v>
      </c>
      <c r="AW20">
        <f>IF(OUTPUT!265:265,"AAAAAH1f1zA=",0)</f>
        <v>0</v>
      </c>
      <c r="AX20" t="s">
        <v>10</v>
      </c>
    </row>
    <row r="21" spans="1:256" x14ac:dyDescent="0.2">
      <c r="A21" t="s">
        <v>11</v>
      </c>
    </row>
    <row r="22" spans="1:256" x14ac:dyDescent="0.2">
      <c r="A22">
        <f>IF(INPUT!26:26,"AAAAAHr3+wA=",0)</f>
        <v>0</v>
      </c>
      <c r="B22" t="e">
        <f>AND(INPUT!#REF!,"AAAAAHr3+wE=")</f>
        <v>#REF!</v>
      </c>
      <c r="C22" t="e">
        <f>AND(INPUT!#REF!,"AAAAAHr3+wI=")</f>
        <v>#REF!</v>
      </c>
      <c r="D22" t="e">
        <f>AND(INPUT!#REF!,"AAAAAHr3+wM=")</f>
        <v>#REF!</v>
      </c>
      <c r="E22" t="e">
        <f>AND(INPUT!#REF!,"AAAAAHr3+wQ=")</f>
        <v>#REF!</v>
      </c>
      <c r="F22" t="e">
        <f>AND(INPUT!H28,"AAAAAHr3+wU=")</f>
        <v>#VALUE!</v>
      </c>
      <c r="G22" t="e">
        <f>AND(INPUT!#REF!,"AAAAAHr3+wY=")</f>
        <v>#REF!</v>
      </c>
      <c r="H22" t="e">
        <f>AND(INPUT!I26,"AAAAAHr3+wc=")</f>
        <v>#VALUE!</v>
      </c>
      <c r="I22" t="e">
        <f>AND(INPUT!#REF!,"AAAAAHr3+wg=")</f>
        <v>#REF!</v>
      </c>
      <c r="J22" t="e">
        <f>AND(INPUT!C58,"AAAAAHr3+wk=")</f>
        <v>#VALUE!</v>
      </c>
      <c r="K22" t="e">
        <f>AND(INPUT!D58,"AAAAAHr3+wo=")</f>
        <v>#VALUE!</v>
      </c>
      <c r="L22" t="e">
        <f>AND(INPUT!E58,"AAAAAHr3+ws=")</f>
        <v>#VALUE!</v>
      </c>
      <c r="M22" t="e">
        <f>AND(INPUT!#REF!,"AAAAAHr3+ww=")</f>
        <v>#REF!</v>
      </c>
      <c r="N22" t="e">
        <f>AND(INPUT!H58,"AAAAAHr3+w0=")</f>
        <v>#VALUE!</v>
      </c>
      <c r="O22" t="e">
        <f>AND(INPUT!#REF!,"AAAAAHr3+w4=")</f>
        <v>#REF!</v>
      </c>
      <c r="P22" t="e">
        <f>AND(INPUT!I54,"AAAAAHr3+w8=")</f>
        <v>#VALUE!</v>
      </c>
      <c r="Q22" t="e">
        <f>AND(INPUT!#REF!,"AAAAAHr3+xA=")</f>
        <v>#REF!</v>
      </c>
      <c r="R22" t="e">
        <f>AND(INPUT!C59,"AAAAAHr3+xE=")</f>
        <v>#VALUE!</v>
      </c>
      <c r="S22" t="e">
        <f>AND(INPUT!D59,"AAAAAHr3+xI=")</f>
        <v>#VALUE!</v>
      </c>
      <c r="T22" t="e">
        <f>AND(INPUT!E59,"AAAAAHr3+xM=")</f>
        <v>#VALUE!</v>
      </c>
      <c r="U22" t="e">
        <f>AND(INPUT!#REF!,"AAAAAHr3+xQ=")</f>
        <v>#REF!</v>
      </c>
      <c r="V22" t="e">
        <f>AND(INPUT!H59,"AAAAAHr3+xU=")</f>
        <v>#VALUE!</v>
      </c>
      <c r="W22" t="e">
        <f>AND(INPUT!#REF!,"AAAAAHr3+xY=")</f>
        <v>#REF!</v>
      </c>
      <c r="X22" t="e">
        <f>AND(INPUT!I55,"AAAAAHr3+xc=")</f>
        <v>#VALUE!</v>
      </c>
      <c r="Y22" t="e">
        <f>AND(INPUT!#REF!,"AAAAAHr3+xg=")</f>
        <v>#REF!</v>
      </c>
      <c r="Z22" t="e">
        <f>AND(INPUT!C55,"AAAAAHr3+xk=")</f>
        <v>#VALUE!</v>
      </c>
      <c r="AA22" t="e">
        <f>AND(INPUT!D55,"AAAAAHr3+xo=")</f>
        <v>#VALUE!</v>
      </c>
      <c r="AB22" t="e">
        <f>AND(INPUT!E55,"AAAAAHr3+xs=")</f>
        <v>#VALUE!</v>
      </c>
      <c r="AC22" t="e">
        <f>AND(INPUT!#REF!,"AAAAAHr3+xw=")</f>
        <v>#REF!</v>
      </c>
      <c r="AD22" t="e">
        <f>AND(INPUT!H60,"AAAAAHr3+x0=")</f>
        <v>#VALUE!</v>
      </c>
      <c r="AE22" t="e">
        <f>AND(INPUT!#REF!,"AAAAAHr3+x4=")</f>
        <v>#REF!</v>
      </c>
      <c r="AF22" t="e">
        <f>AND(INPUT!I56,"AAAAAHr3+x8=")</f>
        <v>#VALUE!</v>
      </c>
      <c r="AG22" t="e">
        <f>AND(INPUT!#REF!,"AAAAAHr3+yA=")</f>
        <v>#REF!</v>
      </c>
      <c r="AH22" t="e">
        <f>AND(INPUT!C61,"AAAAAHr3+yE=")</f>
        <v>#VALUE!</v>
      </c>
      <c r="AI22" t="e">
        <f>AND(INPUT!D61,"AAAAAHr3+yI=")</f>
        <v>#VALUE!</v>
      </c>
      <c r="AJ22" t="e">
        <f>AND(INPUT!E61,"AAAAAHr3+yM=")</f>
        <v>#VALUE!</v>
      </c>
      <c r="AK22" t="e">
        <f>AND(INPUT!#REF!,"AAAAAHr3+yQ=")</f>
        <v>#REF!</v>
      </c>
      <c r="AL22" t="e">
        <f>AND(INPUT!H61,"AAAAAHr3+yU=")</f>
        <v>#VALUE!</v>
      </c>
      <c r="AM22" t="e">
        <f>AND(INPUT!#REF!,"AAAAAHr3+yY=")</f>
        <v>#REF!</v>
      </c>
      <c r="AN22" t="e">
        <f>AND(INPUT!I57,"AAAAAHr3+yc=")</f>
        <v>#VALUE!</v>
      </c>
      <c r="AO22" t="e">
        <f>AND(INPUT!#REF!,"AAAAAHr3+yg=")</f>
        <v>#REF!</v>
      </c>
      <c r="AP22" t="e">
        <f>AND(INPUT!C62,"AAAAAHr3+yk=")</f>
        <v>#VALUE!</v>
      </c>
      <c r="AQ22" t="e">
        <f>AND(INPUT!D62,"AAAAAHr3+yo=")</f>
        <v>#VALUE!</v>
      </c>
      <c r="AR22" t="e">
        <f>AND(INPUT!E62,"AAAAAHr3+ys=")</f>
        <v>#VALUE!</v>
      </c>
      <c r="AS22" t="e">
        <f>AND(INPUT!#REF!,"AAAAAHr3+yw=")</f>
        <v>#REF!</v>
      </c>
      <c r="AT22" t="e">
        <f>AND(INPUT!H62,"AAAAAHr3+y0=")</f>
        <v>#VALUE!</v>
      </c>
      <c r="AU22" t="e">
        <f>AND(INPUT!#REF!,"AAAAAHr3+y4=")</f>
        <v>#REF!</v>
      </c>
      <c r="AV22" t="e">
        <f>AND(INPUT!I58,"AAAAAHr3+y8=")</f>
        <v>#VALUE!</v>
      </c>
      <c r="AW22" t="e">
        <f>AND(INPUT!#REF!,"AAAAAHr3+zA=")</f>
        <v>#REF!</v>
      </c>
      <c r="AX22" t="e">
        <f>AND(INPUT!C63,"AAAAAHr3+zE=")</f>
        <v>#VALUE!</v>
      </c>
      <c r="AY22" t="e">
        <f>AND(INPUT!D63,"AAAAAHr3+zI=")</f>
        <v>#VALUE!</v>
      </c>
      <c r="AZ22" t="e">
        <f>AND(INPUT!E63,"AAAAAHr3+zM=")</f>
        <v>#VALUE!</v>
      </c>
      <c r="BA22" t="e">
        <f>AND(INPUT!#REF!,"AAAAAHr3+zQ=")</f>
        <v>#REF!</v>
      </c>
      <c r="BB22" t="e">
        <f>AND(INPUT!H63,"AAAAAHr3+zU=")</f>
        <v>#VALUE!</v>
      </c>
      <c r="BC22" t="e">
        <f>AND(INPUT!#REF!,"AAAAAHr3+zY=")</f>
        <v>#REF!</v>
      </c>
      <c r="BD22" t="e">
        <f>AND(INPUT!I59,"AAAAAHr3+zc=")</f>
        <v>#VALUE!</v>
      </c>
      <c r="BE22" t="e">
        <f>AND(INPUT!#REF!,"AAAAAHr3+zg=")</f>
        <v>#REF!</v>
      </c>
      <c r="BF22" t="e">
        <f>AND(INPUT!C64,"AAAAAHr3+zk=")</f>
        <v>#VALUE!</v>
      </c>
      <c r="BG22" t="e">
        <f>AND(INPUT!D64,"AAAAAHr3+zo=")</f>
        <v>#VALUE!</v>
      </c>
      <c r="BH22" t="e">
        <f>AND(INPUT!E64,"AAAAAHr3+zs=")</f>
        <v>#VALUE!</v>
      </c>
      <c r="BI22" t="e">
        <f>AND(INPUT!#REF!,"AAAAAHr3+zw=")</f>
        <v>#REF!</v>
      </c>
      <c r="BJ22" t="e">
        <f>AND(INPUT!H64,"AAAAAHr3+z0=")</f>
        <v>#VALUE!</v>
      </c>
      <c r="BK22" t="e">
        <f>AND(INPUT!#REF!,"AAAAAHr3+z4=")</f>
        <v>#REF!</v>
      </c>
      <c r="BL22" t="e">
        <f>AND(INPUT!I60,"AAAAAHr3+z8=")</f>
        <v>#VALUE!</v>
      </c>
      <c r="BM22" t="e">
        <f>AND(INPUT!#REF!,"AAAAAHr3+0A=")</f>
        <v>#REF!</v>
      </c>
      <c r="BN22" t="e">
        <f>AND(INPUT!C65,"AAAAAHr3+0E=")</f>
        <v>#VALUE!</v>
      </c>
      <c r="BO22" t="e">
        <f>AND(INPUT!D65,"AAAAAHr3+0I=")</f>
        <v>#VALUE!</v>
      </c>
      <c r="BP22" t="e">
        <f>AND(INPUT!E65,"AAAAAHr3+0M=")</f>
        <v>#VALUE!</v>
      </c>
      <c r="BQ22" t="e">
        <f>AND(INPUT!#REF!,"AAAAAHr3+0Q=")</f>
        <v>#REF!</v>
      </c>
      <c r="BR22" t="e">
        <f>AND(INPUT!H65,"AAAAAHr3+0U=")</f>
        <v>#VALUE!</v>
      </c>
      <c r="BS22" t="e">
        <f>AND(INPUT!#REF!,"AAAAAHr3+0Y=")</f>
        <v>#REF!</v>
      </c>
      <c r="BT22" t="e">
        <f>AND(INPUT!I61,"AAAAAHr3+0c=")</f>
        <v>#VALUE!</v>
      </c>
      <c r="BU22" t="e">
        <f>AND(INPUT!#REF!,"AAAAAHr3+0g=")</f>
        <v>#REF!</v>
      </c>
      <c r="BV22" t="s">
        <v>12</v>
      </c>
    </row>
    <row r="23" spans="1:256" x14ac:dyDescent="0.2">
      <c r="A23" t="s">
        <v>13</v>
      </c>
    </row>
    <row r="24" spans="1:256" x14ac:dyDescent="0.2">
      <c r="A24" t="s">
        <v>14</v>
      </c>
    </row>
    <row r="25" spans="1:256" x14ac:dyDescent="0.2">
      <c r="A25" t="e">
        <f>AND(INPUT!C66,"AAAAAHdp3wA=")</f>
        <v>#VALUE!</v>
      </c>
      <c r="B25" t="e">
        <f>AND(INPUT!D66,"AAAAAHdp3wE=")</f>
        <v>#VALUE!</v>
      </c>
      <c r="C25" t="e">
        <f>AND(INPUT!E66,"AAAAAHdp3wI=")</f>
        <v>#VALUE!</v>
      </c>
      <c r="D25" t="e">
        <f>AND(INPUT!#REF!,"AAAAAHdp3wM=")</f>
        <v>#REF!</v>
      </c>
      <c r="E25" t="e">
        <f>AND(INPUT!H66,"AAAAAHdp3wQ=")</f>
        <v>#VALUE!</v>
      </c>
      <c r="F25" t="e">
        <f>AND(INPUT!#REF!,"AAAAAHdp3wU=")</f>
        <v>#REF!</v>
      </c>
      <c r="G25" t="e">
        <f>AND(INPUT!I62,"AAAAAHdp3wY=")</f>
        <v>#VALUE!</v>
      </c>
      <c r="H25" t="e">
        <f>AND(INPUT!#REF!,"AAAAAHdp3wc=")</f>
        <v>#REF!</v>
      </c>
      <c r="I25" t="e">
        <f>AND(INPUT!C67,"AAAAAHdp3wg=")</f>
        <v>#VALUE!</v>
      </c>
      <c r="J25" t="e">
        <f>AND(INPUT!D67,"AAAAAHdp3wk=")</f>
        <v>#VALUE!</v>
      </c>
      <c r="K25" t="e">
        <f>AND(INPUT!E67,"AAAAAHdp3wo=")</f>
        <v>#VALUE!</v>
      </c>
      <c r="L25" t="e">
        <f>AND(INPUT!#REF!,"AAAAAHdp3ws=")</f>
        <v>#REF!</v>
      </c>
      <c r="M25" t="e">
        <f>AND(INPUT!H67,"AAAAAHdp3ww=")</f>
        <v>#VALUE!</v>
      </c>
      <c r="N25" t="e">
        <f>AND(INPUT!#REF!,"AAAAAHdp3w0=")</f>
        <v>#REF!</v>
      </c>
      <c r="O25" t="e">
        <f>AND(INPUT!I63,"AAAAAHdp3w4=")</f>
        <v>#VALUE!</v>
      </c>
      <c r="P25" t="e">
        <f>AND(INPUT!#REF!,"AAAAAHdp3w8=")</f>
        <v>#REF!</v>
      </c>
      <c r="Q25" t="e">
        <f>AND(INPUT!C68,"AAAAAHdp3xA=")</f>
        <v>#VALUE!</v>
      </c>
      <c r="R25" t="e">
        <f>AND(INPUT!D68,"AAAAAHdp3xE=")</f>
        <v>#VALUE!</v>
      </c>
      <c r="S25" t="e">
        <f>AND(INPUT!E68,"AAAAAHdp3xI=")</f>
        <v>#VALUE!</v>
      </c>
      <c r="T25" t="e">
        <f>AND(INPUT!#REF!,"AAAAAHdp3xM=")</f>
        <v>#REF!</v>
      </c>
      <c r="U25" t="e">
        <f>AND(INPUT!H68,"AAAAAHdp3xQ=")</f>
        <v>#VALUE!</v>
      </c>
      <c r="V25" t="e">
        <f>AND(INPUT!#REF!,"AAAAAHdp3xU=")</f>
        <v>#REF!</v>
      </c>
      <c r="W25" t="e">
        <f>AND(INPUT!I64,"AAAAAHdp3xY=")</f>
        <v>#VALUE!</v>
      </c>
      <c r="X25" t="e">
        <f>AND(INPUT!#REF!,"AAAAAHdp3xc=")</f>
        <v>#REF!</v>
      </c>
      <c r="Y25" t="e">
        <f>AND(OUTPUT!C288,"AAAAAHdp3xg=")</f>
        <v>#VALUE!</v>
      </c>
      <c r="Z25" t="e">
        <f>AND(OUTPUT!D287,"AAAAAHdp3xk=")</f>
        <v>#VALUE!</v>
      </c>
      <c r="AA25" t="e">
        <f>AND(OUTPUT!E282,"AAAAAHdp3xo=")</f>
        <v>#VALUE!</v>
      </c>
      <c r="AB25" t="e">
        <f>AND(OUTPUT!F282,"AAAAAHdp3xs=")</f>
        <v>#VALUE!</v>
      </c>
      <c r="AC25" t="e">
        <f>AND(OUTPUT!G282,"AAAAAHdp3xw=")</f>
        <v>#VALUE!</v>
      </c>
      <c r="AD25" t="e">
        <f>AND(OUTPUT!I265,"AAAAAHdp3x0=")</f>
        <v>#VALUE!</v>
      </c>
      <c r="AE25" t="e">
        <f>AND(OUTPUT!#REF!,"AAAAAHdp3x4=")</f>
        <v>#REF!</v>
      </c>
      <c r="AF25" t="e">
        <f>AND(OUTPUT!#REF!,"AAAAAHdp3x8=")</f>
        <v>#REF!</v>
      </c>
      <c r="AG25" t="e">
        <f>AND(OUTPUT!#REF!,"AAAAAHdp3yA=")</f>
        <v>#REF!</v>
      </c>
      <c r="AH25" t="e">
        <f>AND(OUTPUT!#REF!,"AAAAAHdp3yE=")</f>
        <v>#REF!</v>
      </c>
      <c r="AI25" t="e">
        <f>AND(OUTPUT!#REF!,"AAAAAHdp3yI=")</f>
        <v>#REF!</v>
      </c>
      <c r="AJ25" t="e">
        <f>AND(OUTPUT!#REF!,"AAAAAHdp3yM=")</f>
        <v>#REF!</v>
      </c>
      <c r="AK25" t="e">
        <f>AND(OUTPUT!#REF!,"AAAAAHdp3yQ=")</f>
        <v>#REF!</v>
      </c>
      <c r="AL25">
        <f>IF(OUTPUT!266:266,"AAAAAHdp3yU=",0)</f>
        <v>0</v>
      </c>
      <c r="AM25" t="e">
        <f>AND(OUTPUT!C289,"AAAAAHdp3yY=")</f>
        <v>#VALUE!</v>
      </c>
      <c r="AN25" t="e">
        <f>AND(OUTPUT!D288,"AAAAAHdp3yc=")</f>
        <v>#VALUE!</v>
      </c>
      <c r="AO25" t="e">
        <f>AND(OUTPUT!E283,"AAAAAHdp3yg=")</f>
        <v>#VALUE!</v>
      </c>
      <c r="AP25" t="e">
        <f>AND(OUTPUT!F283,"AAAAAHdp3yk=")</f>
        <v>#VALUE!</v>
      </c>
      <c r="AQ25" t="e">
        <f>AND(OUTPUT!G283,"AAAAAHdp3yo=")</f>
        <v>#VALUE!</v>
      </c>
      <c r="AR25" t="e">
        <f>AND(OUTPUT!I266,"AAAAAHdp3ys=")</f>
        <v>#VALUE!</v>
      </c>
      <c r="AS25" t="e">
        <f>AND(OUTPUT!#REF!,"AAAAAHdp3yw=")</f>
        <v>#REF!</v>
      </c>
      <c r="AT25" t="e">
        <f>AND(OUTPUT!#REF!,"AAAAAHdp3y0=")</f>
        <v>#REF!</v>
      </c>
      <c r="AU25" t="e">
        <f>AND(OUTPUT!#REF!,"AAAAAHdp3y4=")</f>
        <v>#REF!</v>
      </c>
      <c r="AV25" t="e">
        <f>AND(OUTPUT!#REF!,"AAAAAHdp3y8=")</f>
        <v>#REF!</v>
      </c>
      <c r="AW25" t="e">
        <f>AND(OUTPUT!#REF!,"AAAAAHdp3zA=")</f>
        <v>#REF!</v>
      </c>
      <c r="AX25" t="e">
        <f>AND(OUTPUT!#REF!,"AAAAAHdp3zE=")</f>
        <v>#REF!</v>
      </c>
      <c r="AY25" t="e">
        <f>AND(OUTPUT!#REF!,"AAAAAHdp3zI=")</f>
        <v>#REF!</v>
      </c>
      <c r="AZ25">
        <f>IF(OUTPUT!267:267,"AAAAAHdp3zM=",0)</f>
        <v>0</v>
      </c>
      <c r="BA25" t="s">
        <v>15</v>
      </c>
    </row>
    <row r="26" spans="1:256" x14ac:dyDescent="0.2">
      <c r="A26" t="e">
        <f>AND(OUTPUT!C266,"AAAAAD/P1QA=")</f>
        <v>#VALUE!</v>
      </c>
      <c r="B26" t="e">
        <f>AND(OUTPUT!D265,"AAAAAD/P1QE=")</f>
        <v>#VALUE!</v>
      </c>
      <c r="C26" t="e">
        <f>AND(OUTPUT!E266,"AAAAAD/P1QI=")</f>
        <v>#VALUE!</v>
      </c>
      <c r="D26" t="e">
        <f>AND(OUTPUT!F266,"AAAAAD/P1QM=")</f>
        <v>#VALUE!</v>
      </c>
      <c r="E26" t="e">
        <f>AND(OUTPUT!G266,"AAAAAD/P1QQ=")</f>
        <v>#VALUE!</v>
      </c>
      <c r="F26" t="e">
        <f>AND(OUTPUT!C267,"AAAAAD/P1QU=")</f>
        <v>#VALUE!</v>
      </c>
      <c r="G26" t="e">
        <f>AND(OUTPUT!D266,"AAAAAD/P1QY=")</f>
        <v>#VALUE!</v>
      </c>
      <c r="H26" t="e">
        <f>AND(OUTPUT!E267,"AAAAAD/P1Qc=")</f>
        <v>#VALUE!</v>
      </c>
      <c r="I26" t="e">
        <f>AND(OUTPUT!F267,"AAAAAD/P1Qg=")</f>
        <v>#VALUE!</v>
      </c>
      <c r="J26" t="e">
        <f>AND(OUTPUT!G267,"AAAAAD/P1Qk=")</f>
        <v>#VALUE!</v>
      </c>
      <c r="K26" t="e">
        <f>AND(OUTPUT!C268,"AAAAAD/P1Qo=")</f>
        <v>#VALUE!</v>
      </c>
      <c r="L26" t="e">
        <f>AND(OUTPUT!D267,"AAAAAD/P1Qs=")</f>
        <v>#VALUE!</v>
      </c>
      <c r="M26" t="e">
        <f>AND(OUTPUT!E268,"AAAAAD/P1Qw=")</f>
        <v>#VALUE!</v>
      </c>
      <c r="N26" t="e">
        <f>AND(OUTPUT!F268,"AAAAAD/P1Q0=")</f>
        <v>#VALUE!</v>
      </c>
      <c r="O26" t="e">
        <f>AND(OUTPUT!G268,"AAAAAD/P1Q4=")</f>
        <v>#VALUE!</v>
      </c>
      <c r="P26" t="e">
        <f>AND(OUTPUT!I267,"AAAAAD/P1Q8=")</f>
        <v>#VALUE!</v>
      </c>
      <c r="Q26" t="e">
        <f>AND(OUTPUT!#REF!,"AAAAAD/P1RA=")</f>
        <v>#REF!</v>
      </c>
      <c r="R26" t="e">
        <f>AND(OUTPUT!#REF!,"AAAAAD/P1RE=")</f>
        <v>#REF!</v>
      </c>
      <c r="S26" t="e">
        <f>AND(OUTPUT!#REF!,"AAAAAD/P1RI=")</f>
        <v>#REF!</v>
      </c>
      <c r="T26" t="e">
        <f>AND(OUTPUT!#REF!,"AAAAAD/P1RM=")</f>
        <v>#REF!</v>
      </c>
      <c r="U26" t="e">
        <f>AND(OUTPUT!#REF!,"AAAAAD/P1RQ=")</f>
        <v>#REF!</v>
      </c>
      <c r="V26" t="e">
        <f>AND(OUTPUT!#REF!,"AAAAAD/P1RU=")</f>
        <v>#REF!</v>
      </c>
      <c r="W26" t="e">
        <f>AND(OUTPUT!#REF!,"AAAAAD/P1RY=")</f>
        <v>#REF!</v>
      </c>
      <c r="X26">
        <f>IF(OUTPUT!268:268,"AAAAAD/P1Rc=",0)</f>
        <v>0</v>
      </c>
      <c r="Y26" t="e">
        <f>AND(OUTPUT!C269,"AAAAAD/P1Rg=")</f>
        <v>#VALUE!</v>
      </c>
      <c r="Z26" t="e">
        <f>AND(OUTPUT!D268,"AAAAAD/P1Rk=")</f>
        <v>#VALUE!</v>
      </c>
      <c r="AA26" t="e">
        <f>AND(OUTPUT!E269,"AAAAAD/P1Ro=")</f>
        <v>#VALUE!</v>
      </c>
      <c r="AB26" t="e">
        <f>AND(OUTPUT!F269,"AAAAAD/P1Rs=")</f>
        <v>#VALUE!</v>
      </c>
      <c r="AC26" t="e">
        <f>AND(OUTPUT!G269,"AAAAAD/P1Rw=")</f>
        <v>#VALUE!</v>
      </c>
      <c r="AD26" t="e">
        <f>AND(OUTPUT!I268,"AAAAAD/P1R0=")</f>
        <v>#VALUE!</v>
      </c>
      <c r="AE26" t="e">
        <f>AND(OUTPUT!#REF!,"AAAAAD/P1R4=")</f>
        <v>#REF!</v>
      </c>
      <c r="AF26" t="e">
        <f>AND(OUTPUT!#REF!,"AAAAAD/P1R8=")</f>
        <v>#REF!</v>
      </c>
      <c r="AG26" t="e">
        <f>AND(OUTPUT!#REF!,"AAAAAD/P1SA=")</f>
        <v>#REF!</v>
      </c>
      <c r="AH26" t="e">
        <f>AND(OUTPUT!#REF!,"AAAAAD/P1SE=")</f>
        <v>#REF!</v>
      </c>
      <c r="AI26" t="e">
        <f>AND(OUTPUT!#REF!,"AAAAAD/P1SI=")</f>
        <v>#REF!</v>
      </c>
      <c r="AJ26" t="e">
        <f>AND(OUTPUT!#REF!,"AAAAAD/P1SM=")</f>
        <v>#REF!</v>
      </c>
      <c r="AK26" t="e">
        <f>AND(OUTPUT!#REF!,"AAAAAD/P1SQ=")</f>
        <v>#REF!</v>
      </c>
      <c r="AL26">
        <f>IF(OUTPUT!269:269,"AAAAAD/P1SU=",0)</f>
        <v>0</v>
      </c>
      <c r="AM26" t="e">
        <f>AND(OUTPUT!C270,"AAAAAD/P1SY=")</f>
        <v>#VALUE!</v>
      </c>
      <c r="AN26" t="e">
        <f>AND(OUTPUT!D269,"AAAAAD/P1Sc=")</f>
        <v>#VALUE!</v>
      </c>
      <c r="AO26" t="e">
        <f>AND(OUTPUT!E270,"AAAAAD/P1Sg=")</f>
        <v>#VALUE!</v>
      </c>
      <c r="AP26" t="e">
        <f>AND(OUTPUT!F270,"AAAAAD/P1Sk=")</f>
        <v>#VALUE!</v>
      </c>
      <c r="AQ26" t="e">
        <f>AND(OUTPUT!G270,"AAAAAD/P1So=")</f>
        <v>#VALUE!</v>
      </c>
      <c r="AR26" t="e">
        <f>AND(OUTPUT!I269,"AAAAAD/P1Ss=")</f>
        <v>#VALUE!</v>
      </c>
      <c r="AS26" t="e">
        <f>AND(OUTPUT!#REF!,"AAAAAD/P1Sw=")</f>
        <v>#REF!</v>
      </c>
      <c r="AT26" t="e">
        <f>AND(OUTPUT!#REF!,"AAAAAD/P1S0=")</f>
        <v>#REF!</v>
      </c>
      <c r="AU26" t="e">
        <f>AND(OUTPUT!#REF!,"AAAAAD/P1S4=")</f>
        <v>#REF!</v>
      </c>
      <c r="AV26" t="e">
        <f>AND(OUTPUT!#REF!,"AAAAAD/P1S8=")</f>
        <v>#REF!</v>
      </c>
      <c r="AW26" t="e">
        <f>AND(OUTPUT!#REF!,"AAAAAD/P1TA=")</f>
        <v>#REF!</v>
      </c>
      <c r="AX26" t="e">
        <f>AND(OUTPUT!#REF!,"AAAAAD/P1TE=")</f>
        <v>#REF!</v>
      </c>
      <c r="AY26" t="e">
        <f>AND(OUTPUT!#REF!,"AAAAAD/P1TI=")</f>
        <v>#REF!</v>
      </c>
      <c r="AZ26">
        <f>IF(OUTPUT!270:270,"AAAAAD/P1TM=",0)</f>
        <v>0</v>
      </c>
      <c r="BA26" t="e">
        <f>AND(OUTPUT!C271,"AAAAAD/P1TQ=")</f>
        <v>#VALUE!</v>
      </c>
      <c r="BB26" t="e">
        <f>AND(OUTPUT!D270,"AAAAAD/P1TU=")</f>
        <v>#VALUE!</v>
      </c>
      <c r="BC26" t="e">
        <f>AND(OUTPUT!E271,"AAAAAD/P1TY=")</f>
        <v>#VALUE!</v>
      </c>
      <c r="BD26" t="e">
        <f>AND(OUTPUT!F271,"AAAAAD/P1Tc=")</f>
        <v>#VALUE!</v>
      </c>
      <c r="BE26" t="e">
        <f>AND(OUTPUT!G271,"AAAAAD/P1Tg=")</f>
        <v>#VALUE!</v>
      </c>
      <c r="BF26" t="e">
        <f>AND(OUTPUT!I270,"AAAAAD/P1Tk=")</f>
        <v>#VALUE!</v>
      </c>
      <c r="BG26" t="e">
        <f>AND(OUTPUT!#REF!,"AAAAAD/P1To=")</f>
        <v>#REF!</v>
      </c>
      <c r="BH26" t="e">
        <f>AND(OUTPUT!#REF!,"AAAAAD/P1Ts=")</f>
        <v>#REF!</v>
      </c>
      <c r="BI26" t="e">
        <f>AND(OUTPUT!#REF!,"AAAAAD/P1Tw=")</f>
        <v>#REF!</v>
      </c>
      <c r="BJ26" t="e">
        <f>AND(OUTPUT!#REF!,"AAAAAD/P1T0=")</f>
        <v>#REF!</v>
      </c>
      <c r="BK26" t="e">
        <f>AND(OUTPUT!#REF!,"AAAAAD/P1T4=")</f>
        <v>#REF!</v>
      </c>
      <c r="BL26" t="e">
        <f>AND(OUTPUT!#REF!,"AAAAAD/P1T8=")</f>
        <v>#REF!</v>
      </c>
      <c r="BM26" t="e">
        <f>AND(OUTPUT!#REF!,"AAAAAD/P1UA=")</f>
        <v>#REF!</v>
      </c>
      <c r="BN26">
        <f>IF(OUTPUT!271:271,"AAAAAD/P1UE=",0)</f>
        <v>0</v>
      </c>
      <c r="BO26" t="e">
        <f>AND(OUTPUT!C272,"AAAAAD/P1UI=")</f>
        <v>#VALUE!</v>
      </c>
      <c r="BP26" t="e">
        <f>AND(OUTPUT!D271,"AAAAAD/P1UM=")</f>
        <v>#VALUE!</v>
      </c>
      <c r="BQ26" t="e">
        <f>AND(OUTPUT!E272,"AAAAAD/P1UQ=")</f>
        <v>#VALUE!</v>
      </c>
      <c r="BR26" t="e">
        <f>AND(OUTPUT!F272,"AAAAAD/P1UU=")</f>
        <v>#VALUE!</v>
      </c>
      <c r="BS26" t="e">
        <f>AND(OUTPUT!G272,"AAAAAD/P1UY=")</f>
        <v>#VALUE!</v>
      </c>
      <c r="BT26" t="e">
        <f>AND(OUTPUT!I271,"AAAAAD/P1Uc=")</f>
        <v>#VALUE!</v>
      </c>
      <c r="BU26" t="e">
        <f>AND(OUTPUT!#REF!,"AAAAAD/P1Ug=")</f>
        <v>#REF!</v>
      </c>
      <c r="BV26" t="e">
        <f>AND(OUTPUT!#REF!,"AAAAAD/P1Uk=")</f>
        <v>#REF!</v>
      </c>
      <c r="BW26" t="e">
        <f>AND(OUTPUT!#REF!,"AAAAAD/P1Uo=")</f>
        <v>#REF!</v>
      </c>
      <c r="BX26" t="e">
        <f>AND(OUTPUT!#REF!,"AAAAAD/P1Us=")</f>
        <v>#REF!</v>
      </c>
      <c r="BY26" t="e">
        <f>AND(OUTPUT!#REF!,"AAAAAD/P1Uw=")</f>
        <v>#REF!</v>
      </c>
      <c r="BZ26" t="e">
        <f>AND(OUTPUT!#REF!,"AAAAAD/P1U0=")</f>
        <v>#REF!</v>
      </c>
      <c r="CA26" t="e">
        <f>AND(OUTPUT!#REF!,"AAAAAD/P1U4=")</f>
        <v>#REF!</v>
      </c>
      <c r="CB26">
        <f>IF(OUTPUT!272:272,"AAAAAD/P1U8=",0)</f>
        <v>0</v>
      </c>
      <c r="CC26" t="e">
        <f>AND(OUTPUT!C273,"AAAAAD/P1VA=")</f>
        <v>#VALUE!</v>
      </c>
      <c r="CD26" t="e">
        <f>AND(OUTPUT!D272,"AAAAAD/P1VE=")</f>
        <v>#VALUE!</v>
      </c>
      <c r="CE26" t="e">
        <f>AND(OUTPUT!E273,"AAAAAD/P1VI=")</f>
        <v>#VALUE!</v>
      </c>
      <c r="CF26" t="e">
        <f>AND(OUTPUT!F273,"AAAAAD/P1VM=")</f>
        <v>#VALUE!</v>
      </c>
      <c r="CG26" t="e">
        <f>AND(OUTPUT!G273,"AAAAAD/P1VQ=")</f>
        <v>#VALUE!</v>
      </c>
      <c r="CH26" t="e">
        <f>AND(OUTPUT!I272,"AAAAAD/P1VU=")</f>
        <v>#VALUE!</v>
      </c>
      <c r="CI26" t="e">
        <f>AND(OUTPUT!#REF!,"AAAAAD/P1VY=")</f>
        <v>#REF!</v>
      </c>
      <c r="CJ26" t="e">
        <f>AND(OUTPUT!#REF!,"AAAAAD/P1Vc=")</f>
        <v>#REF!</v>
      </c>
      <c r="CK26" t="e">
        <f>AND(OUTPUT!#REF!,"AAAAAD/P1Vg=")</f>
        <v>#REF!</v>
      </c>
      <c r="CL26" t="e">
        <f>AND(OUTPUT!#REF!,"AAAAAD/P1Vk=")</f>
        <v>#REF!</v>
      </c>
      <c r="CM26" t="e">
        <f>AND(OUTPUT!#REF!,"AAAAAD/P1Vo=")</f>
        <v>#REF!</v>
      </c>
      <c r="CN26" t="e">
        <f>AND(OUTPUT!#REF!,"AAAAAD/P1Vs=")</f>
        <v>#REF!</v>
      </c>
      <c r="CO26" t="e">
        <f>AND(OUTPUT!#REF!,"AAAAAD/P1Vw=")</f>
        <v>#REF!</v>
      </c>
      <c r="CP26">
        <f>IF(OUTPUT!273:273,"AAAAAD/P1V0=",0)</f>
        <v>0</v>
      </c>
      <c r="CQ26" t="e">
        <f>AND(OUTPUT!C274,"AAAAAD/P1V4=")</f>
        <v>#VALUE!</v>
      </c>
      <c r="CR26" t="e">
        <f>AND(OUTPUT!D273,"AAAAAD/P1V8=")</f>
        <v>#VALUE!</v>
      </c>
      <c r="CS26" t="e">
        <f>AND(OUTPUT!E274,"AAAAAD/P1WA=")</f>
        <v>#VALUE!</v>
      </c>
      <c r="CT26" t="e">
        <f>AND(OUTPUT!F274,"AAAAAD/P1WE=")</f>
        <v>#VALUE!</v>
      </c>
      <c r="CU26" t="e">
        <f>AND(OUTPUT!G274,"AAAAAD/P1WI=")</f>
        <v>#VALUE!</v>
      </c>
      <c r="CV26" t="e">
        <f>AND(OUTPUT!I273,"AAAAAD/P1WM=")</f>
        <v>#VALUE!</v>
      </c>
      <c r="CW26" t="e">
        <f>AND(OUTPUT!#REF!,"AAAAAD/P1WQ=")</f>
        <v>#REF!</v>
      </c>
      <c r="CX26" t="e">
        <f>AND(OUTPUT!#REF!,"AAAAAD/P1WU=")</f>
        <v>#REF!</v>
      </c>
      <c r="CY26" t="e">
        <f>AND(OUTPUT!#REF!,"AAAAAD/P1WY=")</f>
        <v>#REF!</v>
      </c>
      <c r="CZ26" t="e">
        <f>AND(OUTPUT!#REF!,"AAAAAD/P1Wc=")</f>
        <v>#REF!</v>
      </c>
      <c r="DA26" t="e">
        <f>AND(OUTPUT!#REF!,"AAAAAD/P1Wg=")</f>
        <v>#REF!</v>
      </c>
      <c r="DB26" t="e">
        <f>AND(OUTPUT!#REF!,"AAAAAD/P1Wk=")</f>
        <v>#REF!</v>
      </c>
      <c r="DC26" t="e">
        <f>AND(OUTPUT!#REF!,"AAAAAD/P1Wo=")</f>
        <v>#REF!</v>
      </c>
      <c r="DD26">
        <f>IF(OUTPUT!274:274,"AAAAAD/P1Ws=",0)</f>
        <v>0</v>
      </c>
      <c r="DE26" t="e">
        <f>AND(OUTPUT!C275,"AAAAAD/P1Ww=")</f>
        <v>#VALUE!</v>
      </c>
      <c r="DF26" t="e">
        <f>AND(OUTPUT!D274,"AAAAAD/P1W0=")</f>
        <v>#VALUE!</v>
      </c>
      <c r="DG26" t="e">
        <f>AND(OUTPUT!E275,"AAAAAD/P1W4=")</f>
        <v>#VALUE!</v>
      </c>
      <c r="DH26" t="e">
        <f>AND(OUTPUT!F275,"AAAAAD/P1W8=")</f>
        <v>#VALUE!</v>
      </c>
      <c r="DI26" t="e">
        <f>AND(OUTPUT!G275,"AAAAAD/P1XA=")</f>
        <v>#VALUE!</v>
      </c>
      <c r="DJ26" t="e">
        <f>AND(OUTPUT!I274,"AAAAAD/P1XE=")</f>
        <v>#VALUE!</v>
      </c>
      <c r="DK26" t="e">
        <f>AND(OUTPUT!#REF!,"AAAAAD/P1XI=")</f>
        <v>#REF!</v>
      </c>
      <c r="DL26" t="e">
        <f>AND(OUTPUT!#REF!,"AAAAAD/P1XM=")</f>
        <v>#REF!</v>
      </c>
      <c r="DM26" t="e">
        <f>AND(OUTPUT!#REF!,"AAAAAD/P1XQ=")</f>
        <v>#REF!</v>
      </c>
      <c r="DN26" t="e">
        <f>AND(OUTPUT!#REF!,"AAAAAD/P1XU=")</f>
        <v>#REF!</v>
      </c>
      <c r="DO26" t="e">
        <f>AND(OUTPUT!#REF!,"AAAAAD/P1XY=")</f>
        <v>#REF!</v>
      </c>
      <c r="DP26" t="e">
        <f>AND(OUTPUT!#REF!,"AAAAAD/P1Xc=")</f>
        <v>#REF!</v>
      </c>
      <c r="DQ26" t="e">
        <f>AND(OUTPUT!#REF!,"AAAAAD/P1Xg=")</f>
        <v>#REF!</v>
      </c>
      <c r="DR26">
        <f>IF(OUTPUT!275:275,"AAAAAD/P1Xk=",0)</f>
        <v>0</v>
      </c>
      <c r="DS26" t="e">
        <f>AND(OUTPUT!C282,"AAAAAD/P1Xo=")</f>
        <v>#VALUE!</v>
      </c>
      <c r="DT26" t="e">
        <f>AND(OUTPUT!D275,"AAAAAD/P1Xs=")</f>
        <v>#VALUE!</v>
      </c>
      <c r="DU26" t="e">
        <f>AND(OUTPUT!E276,"AAAAAD/P1Xw=")</f>
        <v>#VALUE!</v>
      </c>
      <c r="DV26" t="e">
        <f>AND(OUTPUT!F276,"AAAAAD/P1X0=")</f>
        <v>#VALUE!</v>
      </c>
      <c r="DW26" t="e">
        <f>AND(OUTPUT!G276,"AAAAAD/P1X4=")</f>
        <v>#VALUE!</v>
      </c>
      <c r="DX26" t="e">
        <f>AND(OUTPUT!I275,"AAAAAD/P1X8=")</f>
        <v>#VALUE!</v>
      </c>
      <c r="DY26" t="e">
        <f>AND(OUTPUT!#REF!,"AAAAAD/P1YA=")</f>
        <v>#REF!</v>
      </c>
      <c r="DZ26" t="e">
        <f>AND(OUTPUT!#REF!,"AAAAAD/P1YE=")</f>
        <v>#REF!</v>
      </c>
      <c r="EA26" t="e">
        <f>AND(OUTPUT!#REF!,"AAAAAD/P1YI=")</f>
        <v>#REF!</v>
      </c>
      <c r="EB26" t="e">
        <f>AND(OUTPUT!#REF!,"AAAAAD/P1YM=")</f>
        <v>#REF!</v>
      </c>
      <c r="EC26" t="e">
        <f>AND(OUTPUT!#REF!,"AAAAAD/P1YQ=")</f>
        <v>#REF!</v>
      </c>
      <c r="ED26" t="e">
        <f>AND(OUTPUT!#REF!,"AAAAAD/P1YU=")</f>
        <v>#REF!</v>
      </c>
      <c r="EE26" t="e">
        <f>AND(OUTPUT!#REF!,"AAAAAD/P1YY=")</f>
        <v>#REF!</v>
      </c>
      <c r="EF26">
        <f>IF(OUTPUT!276:276,"AAAAAD/P1Yc=",0)</f>
        <v>0</v>
      </c>
      <c r="EG26" t="e">
        <f>AND(OUTPUT!C283,"AAAAAD/P1Yg=")</f>
        <v>#VALUE!</v>
      </c>
      <c r="EH26" t="e">
        <f>AND(OUTPUT!D282,"AAAAAD/P1Yk=")</f>
        <v>#VALUE!</v>
      </c>
      <c r="EI26" t="e">
        <f>AND(OUTPUT!E277,"AAAAAD/P1Yo=")</f>
        <v>#VALUE!</v>
      </c>
      <c r="EJ26" t="e">
        <f>AND(OUTPUT!F277,"AAAAAD/P1Ys=")</f>
        <v>#VALUE!</v>
      </c>
      <c r="EK26" t="e">
        <f>AND(OUTPUT!G277,"AAAAAD/P1Yw=")</f>
        <v>#VALUE!</v>
      </c>
      <c r="EL26" t="e">
        <f>AND(OUTPUT!I276,"AAAAAD/P1Y0=")</f>
        <v>#VALUE!</v>
      </c>
      <c r="EM26" t="e">
        <f>AND(OUTPUT!#REF!,"AAAAAD/P1Y4=")</f>
        <v>#REF!</v>
      </c>
      <c r="EN26" t="e">
        <f>AND(OUTPUT!#REF!,"AAAAAD/P1Y8=")</f>
        <v>#REF!</v>
      </c>
      <c r="EO26" t="e">
        <f>AND(OUTPUT!#REF!,"AAAAAD/P1ZA=")</f>
        <v>#REF!</v>
      </c>
      <c r="EP26" t="e">
        <f>AND(OUTPUT!#REF!,"AAAAAD/P1ZE=")</f>
        <v>#REF!</v>
      </c>
      <c r="EQ26" t="e">
        <f>AND(OUTPUT!#REF!,"AAAAAD/P1ZI=")</f>
        <v>#REF!</v>
      </c>
      <c r="ER26" t="e">
        <f>AND(OUTPUT!#REF!,"AAAAAD/P1ZM=")</f>
        <v>#REF!</v>
      </c>
      <c r="ES26" t="e">
        <f>AND(OUTPUT!#REF!,"AAAAAD/P1ZQ=")</f>
        <v>#REF!</v>
      </c>
      <c r="ET26">
        <f>IF(OUTPUT!277:277,"AAAAAD/P1ZU=",0)</f>
        <v>0</v>
      </c>
      <c r="EU26" t="e">
        <f>AND(OUTPUT!C284,"AAAAAD/P1ZY=")</f>
        <v>#VALUE!</v>
      </c>
      <c r="EV26" t="e">
        <f>AND(OUTPUT!D283,"AAAAAD/P1Zc=")</f>
        <v>#VALUE!</v>
      </c>
      <c r="EW26" t="e">
        <f>AND(OUTPUT!E278,"AAAAAD/P1Zg=")</f>
        <v>#VALUE!</v>
      </c>
      <c r="EX26" t="e">
        <f>AND(OUTPUT!F278,"AAAAAD/P1Zk=")</f>
        <v>#VALUE!</v>
      </c>
      <c r="EY26" t="e">
        <f>AND(OUTPUT!G278,"AAAAAD/P1Zo=")</f>
        <v>#VALUE!</v>
      </c>
      <c r="EZ26" t="e">
        <f>AND(OUTPUT!I277,"AAAAAD/P1Zs=")</f>
        <v>#VALUE!</v>
      </c>
      <c r="FA26" t="e">
        <f>AND(OUTPUT!#REF!,"AAAAAD/P1Zw=")</f>
        <v>#REF!</v>
      </c>
      <c r="FB26" t="e">
        <f>AND(OUTPUT!#REF!,"AAAAAD/P1Z0=")</f>
        <v>#REF!</v>
      </c>
      <c r="FC26" t="e">
        <f>AND(OUTPUT!#REF!,"AAAAAD/P1Z4=")</f>
        <v>#REF!</v>
      </c>
      <c r="FD26" t="e">
        <f>AND(OUTPUT!#REF!,"AAAAAD/P1Z8=")</f>
        <v>#REF!</v>
      </c>
      <c r="FE26" t="e">
        <f>AND(OUTPUT!#REF!,"AAAAAD/P1aA=")</f>
        <v>#REF!</v>
      </c>
      <c r="FF26" t="e">
        <f>AND(OUTPUT!#REF!,"AAAAAD/P1aE=")</f>
        <v>#REF!</v>
      </c>
      <c r="FG26" t="e">
        <f>AND(OUTPUT!#REF!,"AAAAAD/P1aI=")</f>
        <v>#REF!</v>
      </c>
      <c r="FH26">
        <f>IF(OUTPUT!278:278,"AAAAAD/P1aM=",0)</f>
        <v>0</v>
      </c>
      <c r="FI26" t="e">
        <f>AND(OUTPUT!C285,"AAAAAD/P1aQ=")</f>
        <v>#VALUE!</v>
      </c>
      <c r="FJ26" t="e">
        <f>AND(OUTPUT!D284,"AAAAAD/P1aU=")</f>
        <v>#VALUE!</v>
      </c>
      <c r="FK26" t="e">
        <f>AND(OUTPUT!E279,"AAAAAD/P1aY=")</f>
        <v>#VALUE!</v>
      </c>
      <c r="FL26" t="e">
        <f>AND(OUTPUT!F279,"AAAAAD/P1ac=")</f>
        <v>#VALUE!</v>
      </c>
      <c r="FM26" t="e">
        <f>AND(OUTPUT!G279,"AAAAAD/P1ag=")</f>
        <v>#VALUE!</v>
      </c>
      <c r="FN26" t="e">
        <f>AND(OUTPUT!I278,"AAAAAD/P1ak=")</f>
        <v>#VALUE!</v>
      </c>
      <c r="FO26" t="e">
        <f>AND(OUTPUT!#REF!,"AAAAAD/P1ao=")</f>
        <v>#REF!</v>
      </c>
      <c r="FP26" t="e">
        <f>AND(OUTPUT!#REF!,"AAAAAD/P1as=")</f>
        <v>#REF!</v>
      </c>
      <c r="FQ26" t="e">
        <f>AND(OUTPUT!#REF!,"AAAAAD/P1aw=")</f>
        <v>#REF!</v>
      </c>
      <c r="FR26" t="e">
        <f>AND(OUTPUT!#REF!,"AAAAAD/P1a0=")</f>
        <v>#REF!</v>
      </c>
      <c r="FS26" t="e">
        <f>AND(OUTPUT!#REF!,"AAAAAD/P1a4=")</f>
        <v>#REF!</v>
      </c>
      <c r="FT26" t="e">
        <f>AND(OUTPUT!#REF!,"AAAAAD/P1a8=")</f>
        <v>#REF!</v>
      </c>
      <c r="FU26" t="e">
        <f>AND(OUTPUT!#REF!,"AAAAAD/P1bA=")</f>
        <v>#REF!</v>
      </c>
      <c r="FV26">
        <f>IF(OUTPUT!279:279,"AAAAAD/P1bE=",0)</f>
        <v>0</v>
      </c>
      <c r="FW26" t="e">
        <f>AND(OUTPUT!C286,"AAAAAD/P1bI=")</f>
        <v>#VALUE!</v>
      </c>
      <c r="FX26" t="e">
        <f>AND(OUTPUT!D285,"AAAAAD/P1bM=")</f>
        <v>#VALUE!</v>
      </c>
      <c r="FY26" t="e">
        <f>AND(OUTPUT!E280,"AAAAAD/P1bQ=")</f>
        <v>#VALUE!</v>
      </c>
      <c r="FZ26" t="e">
        <f>AND(OUTPUT!F280,"AAAAAD/P1bU=")</f>
        <v>#VALUE!</v>
      </c>
      <c r="GA26" t="e">
        <f>AND(OUTPUT!G280,"AAAAAD/P1bY=")</f>
        <v>#VALUE!</v>
      </c>
      <c r="GB26" t="e">
        <f>AND(OUTPUT!I279,"AAAAAD/P1bc=")</f>
        <v>#VALUE!</v>
      </c>
      <c r="GC26" t="e">
        <f>AND(OUTPUT!#REF!,"AAAAAD/P1bg=")</f>
        <v>#REF!</v>
      </c>
      <c r="GD26" t="e">
        <f>AND(OUTPUT!#REF!,"AAAAAD/P1bk=")</f>
        <v>#REF!</v>
      </c>
      <c r="GE26" t="e">
        <f>AND(OUTPUT!#REF!,"AAAAAD/P1bo=")</f>
        <v>#REF!</v>
      </c>
      <c r="GF26" t="e">
        <f>AND(OUTPUT!#REF!,"AAAAAD/P1bs=")</f>
        <v>#REF!</v>
      </c>
      <c r="GG26" t="e">
        <f>AND(OUTPUT!#REF!,"AAAAAD/P1bw=")</f>
        <v>#REF!</v>
      </c>
      <c r="GH26" t="e">
        <f>AND(OUTPUT!#REF!,"AAAAAD/P1b0=")</f>
        <v>#REF!</v>
      </c>
      <c r="GI26" t="e">
        <f>AND(OUTPUT!#REF!,"AAAAAD/P1b4=")</f>
        <v>#REF!</v>
      </c>
      <c r="GJ26">
        <f>IF(OUTPUT!280:280,"AAAAAD/P1b8=",0)</f>
        <v>0</v>
      </c>
      <c r="GK26" t="e">
        <f>AND(OUTPUT!C287,"AAAAAD/P1cA=")</f>
        <v>#VALUE!</v>
      </c>
      <c r="GL26" t="e">
        <f>AND(OUTPUT!D286,"AAAAAD/P1cE=")</f>
        <v>#VALUE!</v>
      </c>
      <c r="GM26" t="e">
        <f>AND(OUTPUT!E281,"AAAAAD/P1cI=")</f>
        <v>#VALUE!</v>
      </c>
      <c r="GN26" t="e">
        <f>AND(OUTPUT!F281,"AAAAAD/P1cM=")</f>
        <v>#VALUE!</v>
      </c>
      <c r="GO26" t="e">
        <f>AND(OUTPUT!G281,"AAAAAD/P1cQ=")</f>
        <v>#VALUE!</v>
      </c>
      <c r="GP26" t="e">
        <f>AND(OUTPUT!I280,"AAAAAD/P1cU=")</f>
        <v>#VALUE!</v>
      </c>
      <c r="GQ26" t="e">
        <f>AND(OUTPUT!#REF!,"AAAAAD/P1cY=")</f>
        <v>#REF!</v>
      </c>
      <c r="GR26" t="e">
        <f>AND(OUTPUT!#REF!,"AAAAAD/P1cc=")</f>
        <v>#REF!</v>
      </c>
      <c r="GS26" t="e">
        <f>AND(OUTPUT!#REF!,"AAAAAD/P1cg=")</f>
        <v>#REF!</v>
      </c>
      <c r="GT26" t="e">
        <f>AND(OUTPUT!#REF!,"AAAAAD/P1ck=")</f>
        <v>#REF!</v>
      </c>
      <c r="GU26" t="e">
        <f>AND(OUTPUT!#REF!,"AAAAAD/P1co=")</f>
        <v>#REF!</v>
      </c>
      <c r="GV26" t="e">
        <f>AND(OUTPUT!#REF!,"AAAAAD/P1cs=")</f>
        <v>#REF!</v>
      </c>
      <c r="GW26" t="e">
        <f>AND(OUTPUT!#REF!,"AAAAAD/P1cw=")</f>
        <v>#REF!</v>
      </c>
      <c r="GX26">
        <f>IF(OUTPUT!281:281,"AAAAAD/P1c0=",0)</f>
        <v>0</v>
      </c>
      <c r="GY26" t="e">
        <f>AND(OUTPUT!I281,"AAAAAD/P1c4=")</f>
        <v>#VALUE!</v>
      </c>
      <c r="GZ26" t="e">
        <f>AND(OUTPUT!#REF!,"AAAAAD/P1c8=")</f>
        <v>#REF!</v>
      </c>
      <c r="HA26" t="e">
        <f>AND(OUTPUT!#REF!,"AAAAAD/P1dA=")</f>
        <v>#REF!</v>
      </c>
      <c r="HB26" t="e">
        <f>AND(OUTPUT!#REF!,"AAAAAD/P1dE=")</f>
        <v>#REF!</v>
      </c>
      <c r="HC26" t="e">
        <f>AND(OUTPUT!#REF!,"AAAAAD/P1dI=")</f>
        <v>#REF!</v>
      </c>
      <c r="HD26" t="e">
        <f>AND(OUTPUT!#REF!,"AAAAAD/P1dM=")</f>
        <v>#REF!</v>
      </c>
      <c r="HE26" t="e">
        <f>AND(OUTPUT!#REF!,"AAAAAD/P1dQ=")</f>
        <v>#REF!</v>
      </c>
      <c r="HF26" t="e">
        <f>AND(OUTPUT!#REF!,"AAAAAD/P1dU=")</f>
        <v>#REF!</v>
      </c>
      <c r="HG26">
        <f>IF(OUTPUT!282:282,"AAAAAD/P1dY=",0)</f>
        <v>0</v>
      </c>
      <c r="HH26" t="e">
        <f>AND(OUTPUT!I282,"AAAAAD/P1dc=")</f>
        <v>#VALUE!</v>
      </c>
      <c r="HI26" t="e">
        <f>AND(OUTPUT!#REF!,"AAAAAD/P1dg=")</f>
        <v>#REF!</v>
      </c>
      <c r="HJ26" t="e">
        <f>AND(OUTPUT!#REF!,"AAAAAD/P1dk=")</f>
        <v>#REF!</v>
      </c>
      <c r="HK26" t="e">
        <f>AND(OUTPUT!#REF!,"AAAAAD/P1do=")</f>
        <v>#REF!</v>
      </c>
      <c r="HL26" t="e">
        <f>AND(OUTPUT!#REF!,"AAAAAD/P1ds=")</f>
        <v>#REF!</v>
      </c>
      <c r="HM26" t="e">
        <f>AND(OUTPUT!#REF!,"AAAAAD/P1dw=")</f>
        <v>#REF!</v>
      </c>
      <c r="HN26" t="e">
        <f>AND(OUTPUT!#REF!,"AAAAAD/P1d0=")</f>
        <v>#REF!</v>
      </c>
      <c r="HO26" t="e">
        <f>AND(OUTPUT!#REF!,"AAAAAD/P1d4=")</f>
        <v>#REF!</v>
      </c>
      <c r="HP26">
        <f>IF(OUTPUT!283:283,"AAAAAD/P1d8=",0)</f>
        <v>0</v>
      </c>
      <c r="HQ26" t="s">
        <v>16</v>
      </c>
    </row>
    <row r="27" spans="1:256" x14ac:dyDescent="0.2">
      <c r="A27" t="s">
        <v>17</v>
      </c>
    </row>
    <row r="28" spans="1:256" x14ac:dyDescent="0.2">
      <c r="A28" t="e">
        <f>AND(INPUT!G1,"AAAAAHz7qwA=")</f>
        <v>#VALUE!</v>
      </c>
      <c r="B28" t="e">
        <f>AND(INPUT!J1,"AAAAAHz7qwE=")</f>
        <v>#VALUE!</v>
      </c>
      <c r="C28" t="e">
        <f>AND(INPUT!K1,"AAAAAHz7qwI=")</f>
        <v>#VALUE!</v>
      </c>
      <c r="D28" t="e">
        <f>AND(INPUT!#REF!,"AAAAAHz7qwM=")</f>
        <v>#REF!</v>
      </c>
      <c r="E28" t="e">
        <f>AND(INPUT!#REF!,"AAAAAHz7qwQ=")</f>
        <v>#REF!</v>
      </c>
      <c r="F28" t="e">
        <f>AND(INPUT!G7,"AAAAAHz7qwU=")</f>
        <v>#VALUE!</v>
      </c>
      <c r="G28" t="e">
        <f>AND(INPUT!#REF!,"AAAAAHz7qwY=")</f>
        <v>#REF!</v>
      </c>
      <c r="H28" t="e">
        <f>AND(INPUT!H7,"AAAAAHz7qwc=")</f>
        <v>#VALUE!</v>
      </c>
      <c r="I28" t="e">
        <f>AND(INPUT!I7,"AAAAAHz7qwg=")</f>
        <v>#VALUE!</v>
      </c>
      <c r="J28" t="e">
        <f>AND(INPUT!#REF!,"AAAAAHz7qwk=")</f>
        <v>#REF!</v>
      </c>
      <c r="K28" t="e">
        <f>AND(INPUT!G8,"AAAAAHz7qwo=")</f>
        <v>#VALUE!</v>
      </c>
      <c r="L28" t="e">
        <f>AND(INPUT!#REF!,"AAAAAHz7qws=")</f>
        <v>#REF!</v>
      </c>
      <c r="M28" t="e">
        <f>AND(INPUT!H8,"AAAAAHz7qww=")</f>
        <v>#VALUE!</v>
      </c>
      <c r="N28" t="e">
        <f>AND(INPUT!I8,"AAAAAHz7qw0=")</f>
        <v>#VALUE!</v>
      </c>
      <c r="O28" t="e">
        <f>AND(INPUT!#REF!,"AAAAAHz7qw4=")</f>
        <v>#REF!</v>
      </c>
      <c r="P28" t="e">
        <f>AND(INPUT!G9,"AAAAAHz7qw8=")</f>
        <v>#VALUE!</v>
      </c>
      <c r="Q28" t="e">
        <f>AND(INPUT!#REF!,"AAAAAHz7qxA=")</f>
        <v>#REF!</v>
      </c>
      <c r="R28" t="e">
        <f>AND(INPUT!H9,"AAAAAHz7qxE=")</f>
        <v>#VALUE!</v>
      </c>
      <c r="S28" t="e">
        <f>AND(INPUT!I9,"AAAAAHz7qxI=")</f>
        <v>#VALUE!</v>
      </c>
      <c r="T28" t="e">
        <f>AND(INPUT!#REF!,"AAAAAHz7qxM=")</f>
        <v>#REF!</v>
      </c>
      <c r="U28" t="e">
        <f>AND(INPUT!G10,"AAAAAHz7qxQ=")</f>
        <v>#VALUE!</v>
      </c>
      <c r="V28" t="e">
        <f>AND(INPUT!#REF!,"AAAAAHz7qxU=")</f>
        <v>#REF!</v>
      </c>
      <c r="W28" t="e">
        <f>AND(INPUT!H10,"AAAAAHz7qxY=")</f>
        <v>#VALUE!</v>
      </c>
      <c r="X28" t="e">
        <f>AND(INPUT!I10,"AAAAAHz7qxc=")</f>
        <v>#VALUE!</v>
      </c>
      <c r="Y28" t="e">
        <f>AND(INPUT!#REF!,"AAAAAHz7qxg=")</f>
        <v>#REF!</v>
      </c>
      <c r="Z28" t="e">
        <f>AND(INPUT!G11,"AAAAAHz7qxk=")</f>
        <v>#VALUE!</v>
      </c>
      <c r="AA28" t="e">
        <f>AND(INPUT!#REF!,"AAAAAHz7qxo=")</f>
        <v>#REF!</v>
      </c>
      <c r="AB28" t="e">
        <f>AND(INPUT!#REF!,"AAAAAHz7qxs=")</f>
        <v>#REF!</v>
      </c>
      <c r="AC28" t="e">
        <f>AND(INPUT!#REF!,"AAAAAHz7qxw=")</f>
        <v>#REF!</v>
      </c>
      <c r="AD28" t="e">
        <f>AND(INPUT!#REF!,"AAAAAHz7qx0=")</f>
        <v>#REF!</v>
      </c>
      <c r="AE28" t="e">
        <f>AND(INPUT!G14,"AAAAAHz7qx4=")</f>
        <v>#VALUE!</v>
      </c>
      <c r="AF28" t="e">
        <f>AND(INPUT!#REF!,"AAAAAHz7qx8=")</f>
        <v>#REF!</v>
      </c>
      <c r="AG28" t="e">
        <f>AND(INPUT!#REF!,"AAAAAHz7qyA=")</f>
        <v>#REF!</v>
      </c>
      <c r="AH28" t="e">
        <f>AND(INPUT!#REF!,"AAAAAHz7qyE=")</f>
        <v>#REF!</v>
      </c>
      <c r="AI28" t="e">
        <f>AND(INPUT!#REF!,"AAAAAHz7qyI=")</f>
        <v>#REF!</v>
      </c>
      <c r="AJ28" t="e">
        <f>AND(INPUT!G15,"AAAAAHz7qyM=")</f>
        <v>#VALUE!</v>
      </c>
      <c r="AK28" t="e">
        <f>AND(INPUT!#REF!,"AAAAAHz7qyQ=")</f>
        <v>#REF!</v>
      </c>
      <c r="AL28" t="e">
        <f>AND(INPUT!#REF!,"AAAAAHz7qyU=")</f>
        <v>#REF!</v>
      </c>
      <c r="AM28" t="e">
        <f>AND(INPUT!#REF!,"AAAAAHz7qyY=")</f>
        <v>#REF!</v>
      </c>
      <c r="AN28" t="e">
        <f>AND(INPUT!#REF!,"AAAAAHz7qyc=")</f>
        <v>#REF!</v>
      </c>
      <c r="AO28" t="e">
        <f>AND(INPUT!G16,"AAAAAHz7qyg=")</f>
        <v>#VALUE!</v>
      </c>
      <c r="AP28" t="e">
        <f>AND(INPUT!J11,"AAAAAHz7qyk=")</f>
        <v>#VALUE!</v>
      </c>
      <c r="AQ28" t="e">
        <f>AND(INPUT!K11,"AAAAAHz7qyo=")</f>
        <v>#VALUE!</v>
      </c>
      <c r="AR28" t="e">
        <f>AND(INPUT!#REF!,"AAAAAHz7qys=")</f>
        <v>#REF!</v>
      </c>
      <c r="AS28" t="e">
        <f>AND(INPUT!#REF!,"AAAAAHz7qyw=")</f>
        <v>#REF!</v>
      </c>
      <c r="AT28" t="e">
        <f>AND(INPUT!G17,"AAAAAHz7qy0=")</f>
        <v>#VALUE!</v>
      </c>
      <c r="AU28" t="e">
        <f>AND(INPUT!J12,"AAAAAHz7qy4=")</f>
        <v>#VALUE!</v>
      </c>
      <c r="AV28" t="e">
        <f>AND(INPUT!K12,"AAAAAHz7qy8=")</f>
        <v>#VALUE!</v>
      </c>
      <c r="AW28" t="e">
        <f>AND(INPUT!#REF!,"AAAAAHz7qzA=")</f>
        <v>#REF!</v>
      </c>
      <c r="AX28" t="e">
        <f>AND(INPUT!#REF!,"AAAAAHz7qzE=")</f>
        <v>#REF!</v>
      </c>
      <c r="AY28" t="e">
        <f>AND(INPUT!G18,"AAAAAHz7qzI=")</f>
        <v>#VALUE!</v>
      </c>
      <c r="AZ28" t="e">
        <f>AND(INPUT!J13,"AAAAAHz7qzM=")</f>
        <v>#VALUE!</v>
      </c>
      <c r="BA28" t="e">
        <f>AND(INPUT!K13,"AAAAAHz7qzQ=")</f>
        <v>#VALUE!</v>
      </c>
      <c r="BB28" t="e">
        <f>AND(INPUT!#REF!,"AAAAAHz7qzU=")</f>
        <v>#REF!</v>
      </c>
      <c r="BC28" t="e">
        <f>AND(INPUT!#REF!,"AAAAAHz7qzY=")</f>
        <v>#REF!</v>
      </c>
      <c r="BD28" t="e">
        <f>AND(INPUT!G19,"AAAAAHz7qzc=")</f>
        <v>#VALUE!</v>
      </c>
      <c r="BE28" t="e">
        <f>AND(INPUT!J14,"AAAAAHz7qzg=")</f>
        <v>#VALUE!</v>
      </c>
      <c r="BF28" t="e">
        <f>AND(INPUT!K14,"AAAAAHz7qzk=")</f>
        <v>#VALUE!</v>
      </c>
      <c r="BG28" t="e">
        <f>AND(INPUT!#REF!,"AAAAAHz7qzo=")</f>
        <v>#REF!</v>
      </c>
      <c r="BH28" t="e">
        <f>AND(INPUT!#REF!,"AAAAAHz7qzs=")</f>
        <v>#REF!</v>
      </c>
      <c r="BI28" t="e">
        <f>AND(INPUT!G20,"AAAAAHz7qzw=")</f>
        <v>#VALUE!</v>
      </c>
      <c r="BJ28" t="e">
        <f>AND(INPUT!#REF!,"AAAAAHz7qz0=")</f>
        <v>#REF!</v>
      </c>
      <c r="BK28" t="e">
        <f>AND(INPUT!K15,"AAAAAHz7qz4=")</f>
        <v>#VALUE!</v>
      </c>
      <c r="BL28" t="e">
        <f>AND(INPUT!#REF!,"AAAAAHz7qz8=")</f>
        <v>#REF!</v>
      </c>
      <c r="BM28" t="e">
        <f>AND(INPUT!#REF!,"AAAAAHz7q0A=")</f>
        <v>#REF!</v>
      </c>
      <c r="BN28" t="e">
        <f>AND(INPUT!G21,"AAAAAHz7q0E=")</f>
        <v>#VALUE!</v>
      </c>
      <c r="BO28" t="e">
        <f>AND(INPUT!J15,"AAAAAHz7q0I=")</f>
        <v>#VALUE!</v>
      </c>
      <c r="BP28" t="e">
        <f>AND(INPUT!K16,"AAAAAHz7q0M=")</f>
        <v>#VALUE!</v>
      </c>
      <c r="BQ28" t="e">
        <f>AND(INPUT!#REF!,"AAAAAHz7q0Q=")</f>
        <v>#REF!</v>
      </c>
      <c r="BR28" t="e">
        <f>AND(INPUT!#REF!,"AAAAAHz7q0U=")</f>
        <v>#REF!</v>
      </c>
      <c r="BS28" t="e">
        <f>AND(INPUT!G22,"AAAAAHz7q0Y=")</f>
        <v>#VALUE!</v>
      </c>
      <c r="BT28" t="e">
        <f>AND(INPUT!J16,"AAAAAHz7q0c=")</f>
        <v>#VALUE!</v>
      </c>
      <c r="BU28" t="e">
        <f>AND(INPUT!K17,"AAAAAHz7q0g=")</f>
        <v>#VALUE!</v>
      </c>
      <c r="BV28" t="e">
        <f>AND(INPUT!#REF!,"AAAAAHz7q0k=")</f>
        <v>#REF!</v>
      </c>
      <c r="BW28" t="e">
        <f>AND(INPUT!#REF!,"AAAAAHz7q0o=")</f>
        <v>#REF!</v>
      </c>
      <c r="BX28" t="e">
        <f>AND(INPUT!G23,"AAAAAHz7q0s=")</f>
        <v>#VALUE!</v>
      </c>
      <c r="BY28" t="e">
        <f>AND(INPUT!J17,"AAAAAHz7q0w=")</f>
        <v>#VALUE!</v>
      </c>
      <c r="BZ28" t="e">
        <f>AND(INPUT!K18,"AAAAAHz7q00=")</f>
        <v>#VALUE!</v>
      </c>
      <c r="CA28" t="e">
        <f>AND(INPUT!#REF!,"AAAAAHz7q04=")</f>
        <v>#REF!</v>
      </c>
      <c r="CB28" t="e">
        <f>AND(INPUT!#REF!,"AAAAAHz7q08=")</f>
        <v>#REF!</v>
      </c>
      <c r="CC28" t="e">
        <f>AND(INPUT!G24,"AAAAAHz7q1A=")</f>
        <v>#VALUE!</v>
      </c>
      <c r="CD28" t="e">
        <f>AND(INPUT!J18,"AAAAAHz7q1E=")</f>
        <v>#VALUE!</v>
      </c>
      <c r="CE28" t="e">
        <f>AND(INPUT!K19,"AAAAAHz7q1I=")</f>
        <v>#VALUE!</v>
      </c>
      <c r="CF28" t="e">
        <f>AND(INPUT!#REF!,"AAAAAHz7q1M=")</f>
        <v>#REF!</v>
      </c>
      <c r="CG28" t="e">
        <f>AND(INPUT!#REF!,"AAAAAHz7q1Q=")</f>
        <v>#REF!</v>
      </c>
      <c r="CH28" t="e">
        <f>AND(INPUT!G25,"AAAAAHz7q1U=")</f>
        <v>#VALUE!</v>
      </c>
      <c r="CI28" t="e">
        <f>AND(INPUT!J19,"AAAAAHz7q1Y=")</f>
        <v>#VALUE!</v>
      </c>
      <c r="CJ28" t="e">
        <f>AND(INPUT!K20,"AAAAAHz7q1c=")</f>
        <v>#VALUE!</v>
      </c>
      <c r="CK28" t="e">
        <f>AND(INPUT!#REF!,"AAAAAHz7q1g=")</f>
        <v>#REF!</v>
      </c>
      <c r="CL28" t="e">
        <f>AND(INPUT!#REF!,"AAAAAHz7q1k=")</f>
        <v>#REF!</v>
      </c>
      <c r="CM28" t="e">
        <f>AND(INPUT!G28,"AAAAAHz7q1o=")</f>
        <v>#VALUE!</v>
      </c>
      <c r="CN28" t="e">
        <f>AND(INPUT!J20,"AAAAAHz7q1s=")</f>
        <v>#VALUE!</v>
      </c>
      <c r="CO28" t="e">
        <f>AND(INPUT!K21,"AAAAAHz7q1w=")</f>
        <v>#VALUE!</v>
      </c>
      <c r="CP28" t="e">
        <f>AND(INPUT!#REF!,"AAAAAHz7q10=")</f>
        <v>#REF!</v>
      </c>
      <c r="CQ28" t="e">
        <f>AND(INPUT!#REF!,"AAAAAHz7q14=")</f>
        <v>#REF!</v>
      </c>
      <c r="CR28" t="e">
        <f>AND(INPUT!G29,"AAAAAHz7q18=")</f>
        <v>#VALUE!</v>
      </c>
      <c r="CS28" t="e">
        <f>AND(INPUT!J21,"AAAAAHz7q2A=")</f>
        <v>#VALUE!</v>
      </c>
      <c r="CT28" t="e">
        <f>AND(INPUT!K22,"AAAAAHz7q2E=")</f>
        <v>#VALUE!</v>
      </c>
      <c r="CU28" t="e">
        <f>AND(INPUT!#REF!,"AAAAAHz7q2I=")</f>
        <v>#REF!</v>
      </c>
      <c r="CV28" t="e">
        <f>AND(INPUT!#REF!,"AAAAAHz7q2M=")</f>
        <v>#REF!</v>
      </c>
      <c r="CW28" t="e">
        <f>AND(INPUT!G30,"AAAAAHz7q2Q=")</f>
        <v>#VALUE!</v>
      </c>
      <c r="CX28" t="e">
        <f>AND(INPUT!J22,"AAAAAHz7q2U=")</f>
        <v>#VALUE!</v>
      </c>
      <c r="CY28" t="e">
        <f>AND(INPUT!K23,"AAAAAHz7q2Y=")</f>
        <v>#VALUE!</v>
      </c>
      <c r="CZ28" t="e">
        <f>AND(INPUT!#REF!,"AAAAAHz7q2c=")</f>
        <v>#REF!</v>
      </c>
      <c r="DA28" t="e">
        <f>AND(INPUT!#REF!,"AAAAAHz7q2g=")</f>
        <v>#REF!</v>
      </c>
      <c r="DB28" t="e">
        <f>AND(INPUT!G31,"AAAAAHz7q2k=")</f>
        <v>#VALUE!</v>
      </c>
      <c r="DC28" t="e">
        <f>AND(INPUT!J23,"AAAAAHz7q2o=")</f>
        <v>#VALUE!</v>
      </c>
      <c r="DD28" t="e">
        <f>AND(INPUT!K24,"AAAAAHz7q2s=")</f>
        <v>#VALUE!</v>
      </c>
      <c r="DE28" t="e">
        <f>AND(INPUT!#REF!,"AAAAAHz7q2w=")</f>
        <v>#REF!</v>
      </c>
      <c r="DF28" t="e">
        <f>AND(INPUT!#REF!,"AAAAAHz7q20=")</f>
        <v>#REF!</v>
      </c>
      <c r="DG28" t="e">
        <f>AND(INPUT!G32,"AAAAAHz7q24=")</f>
        <v>#VALUE!</v>
      </c>
      <c r="DH28" t="e">
        <f>AND(INPUT!J24,"AAAAAHz7q28=")</f>
        <v>#VALUE!</v>
      </c>
      <c r="DI28" t="e">
        <f>AND(INPUT!K25,"AAAAAHz7q3A=")</f>
        <v>#VALUE!</v>
      </c>
      <c r="DJ28" t="e">
        <f>AND(INPUT!#REF!,"AAAAAHz7q3E=")</f>
        <v>#REF!</v>
      </c>
      <c r="DK28" t="e">
        <f>AND(INPUT!#REF!,"AAAAAHz7q3I=")</f>
        <v>#REF!</v>
      </c>
      <c r="DL28" t="e">
        <f>AND(INPUT!G33,"AAAAAHz7q3M=")</f>
        <v>#VALUE!</v>
      </c>
      <c r="DM28" t="e">
        <f>AND(INPUT!J25,"AAAAAHz7q3Q=")</f>
        <v>#VALUE!</v>
      </c>
      <c r="DN28" t="e">
        <f>AND(INPUT!K26,"AAAAAHz7q3U=")</f>
        <v>#VALUE!</v>
      </c>
      <c r="DO28" t="e">
        <f>AND(INPUT!#REF!,"AAAAAHz7q3Y=")</f>
        <v>#REF!</v>
      </c>
      <c r="DP28" t="e">
        <f>AND(INPUT!#REF!,"AAAAAHz7q3c=")</f>
        <v>#REF!</v>
      </c>
      <c r="DQ28" t="e">
        <f>AND(INPUT!G36,"AAAAAHz7q3g=")</f>
        <v>#VALUE!</v>
      </c>
      <c r="DR28" t="e">
        <f>AND(INPUT!J26,"AAAAAHz7q3k=")</f>
        <v>#VALUE!</v>
      </c>
      <c r="DS28" t="e">
        <f>AND(INPUT!K27,"AAAAAHz7q3o=")</f>
        <v>#VALUE!</v>
      </c>
      <c r="DT28" t="e">
        <f>AND(INPUT!#REF!,"AAAAAHz7q3s=")</f>
        <v>#REF!</v>
      </c>
      <c r="DU28" t="e">
        <f>AND(INPUT!#REF!,"AAAAAHz7q3w=")</f>
        <v>#REF!</v>
      </c>
      <c r="DV28" t="e">
        <f>AND(INPUT!G37,"AAAAAHz7q30=")</f>
        <v>#VALUE!</v>
      </c>
      <c r="DW28" t="e">
        <f>AND(INPUT!J27,"AAAAAHz7q34=")</f>
        <v>#VALUE!</v>
      </c>
      <c r="DX28" t="e">
        <f>AND(INPUT!K28,"AAAAAHz7q38=")</f>
        <v>#VALUE!</v>
      </c>
      <c r="DY28" t="e">
        <f>AND(INPUT!#REF!,"AAAAAHz7q4A=")</f>
        <v>#REF!</v>
      </c>
      <c r="DZ28" t="e">
        <f>AND(INPUT!#REF!,"AAAAAHz7q4E=")</f>
        <v>#REF!</v>
      </c>
      <c r="EA28" t="e">
        <f>AND(INPUT!G38,"AAAAAHz7q4I=")</f>
        <v>#VALUE!</v>
      </c>
      <c r="EB28" t="e">
        <f>AND(INPUT!J28,"AAAAAHz7q4M=")</f>
        <v>#VALUE!</v>
      </c>
      <c r="EC28" t="e">
        <f>AND(INPUT!K29,"AAAAAHz7q4Q=")</f>
        <v>#VALUE!</v>
      </c>
      <c r="ED28" t="e">
        <f>AND(INPUT!#REF!,"AAAAAHz7q4U=")</f>
        <v>#REF!</v>
      </c>
      <c r="EE28" t="e">
        <f>AND(INPUT!#REF!,"AAAAAHz7q4Y=")</f>
        <v>#REF!</v>
      </c>
      <c r="EF28" t="e">
        <f>AND(INPUT!G39,"AAAAAHz7q4c=")</f>
        <v>#VALUE!</v>
      </c>
      <c r="EG28" t="e">
        <f>AND(INPUT!J29,"AAAAAHz7q4g=")</f>
        <v>#VALUE!</v>
      </c>
      <c r="EH28" t="e">
        <f>AND(INPUT!K30,"AAAAAHz7q4k=")</f>
        <v>#VALUE!</v>
      </c>
      <c r="EI28" t="e">
        <f>AND(INPUT!#REF!,"AAAAAHz7q4o=")</f>
        <v>#REF!</v>
      </c>
      <c r="EJ28" t="e">
        <f>AND(INPUT!#REF!,"AAAAAHz7q4s=")</f>
        <v>#REF!</v>
      </c>
      <c r="EK28" t="e">
        <f>AND(INPUT!G40,"AAAAAHz7q4w=")</f>
        <v>#VALUE!</v>
      </c>
      <c r="EL28" t="e">
        <f>AND(INPUT!J30,"AAAAAHz7q40=")</f>
        <v>#VALUE!</v>
      </c>
      <c r="EM28" t="e">
        <f>AND(INPUT!K31,"AAAAAHz7q44=")</f>
        <v>#VALUE!</v>
      </c>
      <c r="EN28" t="e">
        <f>AND(INPUT!#REF!,"AAAAAHz7q48=")</f>
        <v>#REF!</v>
      </c>
      <c r="EO28" t="e">
        <f>AND(INPUT!#REF!,"AAAAAHz7q5A=")</f>
        <v>#REF!</v>
      </c>
      <c r="EP28" t="e">
        <f>AND(INPUT!G41,"AAAAAHz7q5E=")</f>
        <v>#VALUE!</v>
      </c>
      <c r="EQ28" t="e">
        <f>AND(INPUT!J31,"AAAAAHz7q5I=")</f>
        <v>#VALUE!</v>
      </c>
      <c r="ER28" t="e">
        <f>AND(INPUT!K32,"AAAAAHz7q5M=")</f>
        <v>#VALUE!</v>
      </c>
      <c r="ES28" t="e">
        <f>AND(INPUT!#REF!,"AAAAAHz7q5Q=")</f>
        <v>#REF!</v>
      </c>
      <c r="ET28" t="e">
        <f>AND(INPUT!#REF!,"AAAAAHz7q5U=")</f>
        <v>#REF!</v>
      </c>
      <c r="EU28" t="e">
        <f>AND(INPUT!G42,"AAAAAHz7q5Y=")</f>
        <v>#VALUE!</v>
      </c>
      <c r="EV28" t="e">
        <f>AND(INPUT!J32,"AAAAAHz7q5c=")</f>
        <v>#VALUE!</v>
      </c>
      <c r="EW28" t="e">
        <f>AND(INPUT!K33,"AAAAAHz7q5g=")</f>
        <v>#VALUE!</v>
      </c>
      <c r="EX28" t="e">
        <f>AND(INPUT!#REF!,"AAAAAHz7q5k=")</f>
        <v>#REF!</v>
      </c>
      <c r="EY28" t="e">
        <f>AND(INPUT!#REF!,"AAAAAHz7q5o=")</f>
        <v>#REF!</v>
      </c>
      <c r="EZ28" t="e">
        <f>AND(INPUT!G43,"AAAAAHz7q5s=")</f>
        <v>#VALUE!</v>
      </c>
      <c r="FA28" t="e">
        <f>AND(INPUT!J33,"AAAAAHz7q5w=")</f>
        <v>#VALUE!</v>
      </c>
      <c r="FB28" t="e">
        <f>AND(INPUT!K34,"AAAAAHz7q50=")</f>
        <v>#VALUE!</v>
      </c>
      <c r="FC28" t="e">
        <f>AND(INPUT!#REF!,"AAAAAHz7q54=")</f>
        <v>#REF!</v>
      </c>
      <c r="FD28" t="e">
        <f>AND(INPUT!#REF!,"AAAAAHz7q58=")</f>
        <v>#REF!</v>
      </c>
      <c r="FE28" t="e">
        <f>AND(INPUT!G44,"AAAAAHz7q6A=")</f>
        <v>#VALUE!</v>
      </c>
      <c r="FF28" t="e">
        <f>AND(INPUT!J34,"AAAAAHz7q6E=")</f>
        <v>#VALUE!</v>
      </c>
      <c r="FG28" t="e">
        <f>AND(INPUT!K35,"AAAAAHz7q6I=")</f>
        <v>#VALUE!</v>
      </c>
      <c r="FH28" t="e">
        <f>AND(INPUT!#REF!,"AAAAAHz7q6M=")</f>
        <v>#REF!</v>
      </c>
      <c r="FI28" t="e">
        <f>AND(INPUT!#REF!,"AAAAAHz7q6Q=")</f>
        <v>#REF!</v>
      </c>
      <c r="FJ28" t="e">
        <f>AND(INPUT!G45,"AAAAAHz7q6U=")</f>
        <v>#VALUE!</v>
      </c>
      <c r="FK28" t="e">
        <f>AND(INPUT!J35,"AAAAAHz7q6Y=")</f>
        <v>#VALUE!</v>
      </c>
      <c r="FL28" t="e">
        <f>AND(INPUT!K36,"AAAAAHz7q6c=")</f>
        <v>#VALUE!</v>
      </c>
      <c r="FM28" t="e">
        <f>AND(INPUT!#REF!,"AAAAAHz7q6g=")</f>
        <v>#REF!</v>
      </c>
      <c r="FN28" t="e">
        <f>AND(INPUT!#REF!,"AAAAAHz7q6k=")</f>
        <v>#REF!</v>
      </c>
      <c r="FO28" t="e">
        <f>AND(INPUT!G46,"AAAAAHz7q6o=")</f>
        <v>#VALUE!</v>
      </c>
      <c r="FP28" t="e">
        <f>AND(INPUT!J36,"AAAAAHz7q6s=")</f>
        <v>#VALUE!</v>
      </c>
      <c r="FQ28" t="e">
        <f>AND(INPUT!K37,"AAAAAHz7q6w=")</f>
        <v>#VALUE!</v>
      </c>
      <c r="FR28" t="e">
        <f>AND(INPUT!#REF!,"AAAAAHz7q60=")</f>
        <v>#REF!</v>
      </c>
      <c r="FS28" t="e">
        <f>AND(INPUT!#REF!,"AAAAAHz7q64=")</f>
        <v>#REF!</v>
      </c>
      <c r="FT28" t="e">
        <f>AND(INPUT!G47,"AAAAAHz7q68=")</f>
        <v>#VALUE!</v>
      </c>
      <c r="FU28" t="e">
        <f>AND(INPUT!J37,"AAAAAHz7q7A=")</f>
        <v>#VALUE!</v>
      </c>
      <c r="FV28" t="e">
        <f>AND(INPUT!K38,"AAAAAHz7q7E=")</f>
        <v>#VALUE!</v>
      </c>
      <c r="FW28" t="e">
        <f>AND(INPUT!#REF!,"AAAAAHz7q7I=")</f>
        <v>#REF!</v>
      </c>
      <c r="FX28" t="e">
        <f>AND(INPUT!#REF!,"AAAAAHz7q7M=")</f>
        <v>#REF!</v>
      </c>
      <c r="FY28" t="e">
        <f>AND(INPUT!G48,"AAAAAHz7q7Q=")</f>
        <v>#VALUE!</v>
      </c>
      <c r="FZ28" t="e">
        <f>AND(INPUT!J38,"AAAAAHz7q7U=")</f>
        <v>#VALUE!</v>
      </c>
      <c r="GA28" t="e">
        <f>AND(INPUT!K39,"AAAAAHz7q7Y=")</f>
        <v>#VALUE!</v>
      </c>
      <c r="GB28" t="e">
        <f>AND(INPUT!#REF!,"AAAAAHz7q7c=")</f>
        <v>#REF!</v>
      </c>
      <c r="GC28" t="e">
        <f>AND(INPUT!#REF!,"AAAAAHz7q7g=")</f>
        <v>#REF!</v>
      </c>
      <c r="GD28" t="e">
        <f>AND(INPUT!G49,"AAAAAHz7q7k=")</f>
        <v>#VALUE!</v>
      </c>
      <c r="GE28" t="e">
        <f>AND(INPUT!J39,"AAAAAHz7q7o=")</f>
        <v>#VALUE!</v>
      </c>
      <c r="GF28" t="e">
        <f>AND(INPUT!K40,"AAAAAHz7q7s=")</f>
        <v>#VALUE!</v>
      </c>
      <c r="GG28" t="e">
        <f>AND(INPUT!#REF!,"AAAAAHz7q7w=")</f>
        <v>#REF!</v>
      </c>
      <c r="GH28" t="e">
        <f>AND(INPUT!#REF!,"AAAAAHz7q70=")</f>
        <v>#REF!</v>
      </c>
      <c r="GI28" t="e">
        <f>AND(INPUT!G50,"AAAAAHz7q74=")</f>
        <v>#VALUE!</v>
      </c>
      <c r="GJ28" t="e">
        <f>AND(INPUT!J40,"AAAAAHz7q78=")</f>
        <v>#VALUE!</v>
      </c>
      <c r="GK28" t="e">
        <f>AND(INPUT!K41,"AAAAAHz7q8A=")</f>
        <v>#VALUE!</v>
      </c>
      <c r="GL28" t="e">
        <f>AND(INPUT!#REF!,"AAAAAHz7q8E=")</f>
        <v>#REF!</v>
      </c>
      <c r="GM28" t="e">
        <f>AND(INPUT!#REF!,"AAAAAHz7q8I=")</f>
        <v>#REF!</v>
      </c>
      <c r="GN28" t="e">
        <f>AND(INPUT!#REF!,"AAAAAHz7q8M=")</f>
        <v>#REF!</v>
      </c>
      <c r="GO28" t="e">
        <f>AND(INPUT!J41,"AAAAAHz7q8Q=")</f>
        <v>#VALUE!</v>
      </c>
      <c r="GP28" t="e">
        <f>AND(INPUT!K42,"AAAAAHz7q8U=")</f>
        <v>#VALUE!</v>
      </c>
      <c r="GQ28" t="e">
        <f>AND(INPUT!#REF!,"AAAAAHz7q8Y=")</f>
        <v>#REF!</v>
      </c>
      <c r="GR28" t="e">
        <f>AND(INPUT!#REF!,"AAAAAHz7q8c=")</f>
        <v>#REF!</v>
      </c>
      <c r="GS28" t="e">
        <f>AND(INPUT!G51,"AAAAAHz7q8g=")</f>
        <v>#VALUE!</v>
      </c>
      <c r="GT28" t="e">
        <f>AND(INPUT!J42,"AAAAAHz7q8k=")</f>
        <v>#VALUE!</v>
      </c>
      <c r="GU28" t="e">
        <f>AND(INPUT!K43,"AAAAAHz7q8o=")</f>
        <v>#VALUE!</v>
      </c>
      <c r="GV28" t="e">
        <f>AND(INPUT!#REF!,"AAAAAHz7q8s=")</f>
        <v>#REF!</v>
      </c>
      <c r="GW28" t="e">
        <f>AND(INPUT!#REF!,"AAAAAHz7q8w=")</f>
        <v>#REF!</v>
      </c>
      <c r="GX28" t="e">
        <f>AND(INPUT!G52,"AAAAAHz7q80=")</f>
        <v>#VALUE!</v>
      </c>
      <c r="GY28" t="e">
        <f>AND(INPUT!J43,"AAAAAHz7q84=")</f>
        <v>#VALUE!</v>
      </c>
      <c r="GZ28" t="e">
        <f>AND(INPUT!K44,"AAAAAHz7q88=")</f>
        <v>#VALUE!</v>
      </c>
      <c r="HA28" t="e">
        <f>AND(INPUT!#REF!,"AAAAAHz7q9A=")</f>
        <v>#REF!</v>
      </c>
      <c r="HB28" t="e">
        <f>AND(INPUT!#REF!,"AAAAAHz7q9E=")</f>
        <v>#REF!</v>
      </c>
      <c r="HC28" t="e">
        <f>AND(INPUT!G53,"AAAAAHz7q9I=")</f>
        <v>#VALUE!</v>
      </c>
      <c r="HD28" t="e">
        <f>AND(INPUT!J44,"AAAAAHz7q9M=")</f>
        <v>#VALUE!</v>
      </c>
      <c r="HE28" t="e">
        <f>AND(INPUT!K45,"AAAAAHz7q9Q=")</f>
        <v>#VALUE!</v>
      </c>
      <c r="HF28" t="e">
        <f>AND(INPUT!#REF!,"AAAAAHz7q9U=")</f>
        <v>#REF!</v>
      </c>
      <c r="HG28" t="e">
        <f>AND(INPUT!#REF!,"AAAAAHz7q9Y=")</f>
        <v>#REF!</v>
      </c>
      <c r="HH28" t="e">
        <f>AND(INPUT!G54,"AAAAAHz7q9c=")</f>
        <v>#VALUE!</v>
      </c>
      <c r="HI28" t="e">
        <f>AND(INPUT!J45,"AAAAAHz7q9g=")</f>
        <v>#VALUE!</v>
      </c>
      <c r="HJ28" t="e">
        <f>AND(INPUT!K46,"AAAAAHz7q9k=")</f>
        <v>#VALUE!</v>
      </c>
      <c r="HK28" t="e">
        <f>AND(INPUT!#REF!,"AAAAAHz7q9o=")</f>
        <v>#REF!</v>
      </c>
      <c r="HL28" t="e">
        <f>AND(INPUT!#REF!,"AAAAAHz7q9s=")</f>
        <v>#REF!</v>
      </c>
      <c r="HM28" t="e">
        <f>AND(INPUT!#REF!,"AAAAAHz7q9w=")</f>
        <v>#REF!</v>
      </c>
      <c r="HN28" t="e">
        <f>AND(INPUT!#REF!,"AAAAAHz7q90=")</f>
        <v>#REF!</v>
      </c>
      <c r="HO28" t="e">
        <f>AND(INPUT!#REF!,"AAAAAHz7q94=")</f>
        <v>#REF!</v>
      </c>
      <c r="HP28" t="e">
        <f>AND(INPUT!#REF!,"AAAAAHz7q98=")</f>
        <v>#REF!</v>
      </c>
      <c r="HQ28" t="e">
        <f>AND(INPUT!#REF!,"AAAAAHz7q+A=")</f>
        <v>#REF!</v>
      </c>
      <c r="HR28" t="e">
        <f>AND(INPUT!#REF!,"AAAAAHz7q+E=")</f>
        <v>#REF!</v>
      </c>
      <c r="HS28" t="e">
        <f>AND(INPUT!J46,"AAAAAHz7q+I=")</f>
        <v>#VALUE!</v>
      </c>
      <c r="HT28" t="e">
        <f>AND(INPUT!K47,"AAAAAHz7q+M=")</f>
        <v>#VALUE!</v>
      </c>
      <c r="HU28" t="e">
        <f>AND(INPUT!#REF!,"AAAAAHz7q+Q=")</f>
        <v>#REF!</v>
      </c>
      <c r="HV28" t="e">
        <f>AND(INPUT!#REF!,"AAAAAHz7q+U=")</f>
        <v>#REF!</v>
      </c>
      <c r="HW28" t="e">
        <f>AND(INPUT!G57,"AAAAAHz7q+Y=")</f>
        <v>#VALUE!</v>
      </c>
      <c r="HX28" t="e">
        <f>AND(INPUT!J47,"AAAAAHz7q+c=")</f>
        <v>#VALUE!</v>
      </c>
      <c r="HY28" t="e">
        <f>AND(INPUT!K48,"AAAAAHz7q+g=")</f>
        <v>#VALUE!</v>
      </c>
      <c r="HZ28" t="e">
        <f>AND(INPUT!#REF!,"AAAAAHz7q+k=")</f>
        <v>#REF!</v>
      </c>
      <c r="IA28" t="e">
        <f>AND(INPUT!#REF!,"AAAAAHz7q+o=")</f>
        <v>#REF!</v>
      </c>
      <c r="IB28" t="e">
        <f>AND(INPUT!G58,"AAAAAHz7q+s=")</f>
        <v>#VALUE!</v>
      </c>
      <c r="IC28" t="e">
        <f>AND(INPUT!J48,"AAAAAHz7q+w=")</f>
        <v>#VALUE!</v>
      </c>
      <c r="ID28" t="e">
        <f>AND(INPUT!K49,"AAAAAHz7q+0=")</f>
        <v>#VALUE!</v>
      </c>
      <c r="IE28" t="e">
        <f>AND(INPUT!#REF!,"AAAAAHz7q+4=")</f>
        <v>#REF!</v>
      </c>
      <c r="IF28" t="e">
        <f>AND(INPUT!#REF!,"AAAAAHz7q+8=")</f>
        <v>#REF!</v>
      </c>
      <c r="IG28" t="e">
        <f>AND(INPUT!G59,"AAAAAHz7q/A=")</f>
        <v>#VALUE!</v>
      </c>
      <c r="IH28" t="e">
        <f>AND(INPUT!J49,"AAAAAHz7q/E=")</f>
        <v>#VALUE!</v>
      </c>
      <c r="II28" t="e">
        <f>AND(INPUT!K50,"AAAAAHz7q/I=")</f>
        <v>#VALUE!</v>
      </c>
      <c r="IJ28" t="e">
        <f>AND(INPUT!#REF!,"AAAAAHz7q/M=")</f>
        <v>#REF!</v>
      </c>
      <c r="IK28" t="e">
        <f>AND(INPUT!#REF!,"AAAAAHz7q/Q=")</f>
        <v>#REF!</v>
      </c>
      <c r="IL28" t="e">
        <f>AND(INPUT!G55,"AAAAAHz7q/U=")</f>
        <v>#VALUE!</v>
      </c>
      <c r="IM28" t="e">
        <f>AND(INPUT!J50,"AAAAAHz7q/Y=")</f>
        <v>#VALUE!</v>
      </c>
      <c r="IN28" t="e">
        <f>AND(INPUT!K51,"AAAAAHz7q/c=")</f>
        <v>#VALUE!</v>
      </c>
      <c r="IO28" t="e">
        <f>AND(INPUT!#REF!,"AAAAAHz7q/g=")</f>
        <v>#REF!</v>
      </c>
      <c r="IP28" t="e">
        <f>AND(INPUT!#REF!,"AAAAAHz7q/k=")</f>
        <v>#REF!</v>
      </c>
      <c r="IQ28" t="e">
        <f>AND(INPUT!G61,"AAAAAHz7q/o=")</f>
        <v>#VALUE!</v>
      </c>
      <c r="IR28" t="e">
        <f>AND(INPUT!J51,"AAAAAHz7q/s=")</f>
        <v>#VALUE!</v>
      </c>
      <c r="IS28" t="e">
        <f>AND(INPUT!K52,"AAAAAHz7q/w=")</f>
        <v>#VALUE!</v>
      </c>
      <c r="IT28" t="e">
        <f>AND(INPUT!#REF!,"AAAAAHz7q/0=")</f>
        <v>#REF!</v>
      </c>
      <c r="IU28" t="e">
        <f>AND(INPUT!#REF!,"AAAAAHz7q/4=")</f>
        <v>#REF!</v>
      </c>
      <c r="IV28" t="e">
        <f>AND(INPUT!G62,"AAAAAHz7q/8=")</f>
        <v>#VALUE!</v>
      </c>
    </row>
    <row r="29" spans="1:256" x14ac:dyDescent="0.2">
      <c r="A29" t="e">
        <f>AND(INPUT!J53,"AAAAAGd7/wA=")</f>
        <v>#VALUE!</v>
      </c>
      <c r="B29" t="e">
        <f>AND(INPUT!K53,"AAAAAGd7/wE=")</f>
        <v>#VALUE!</v>
      </c>
      <c r="C29" t="e">
        <f>AND(INPUT!#REF!,"AAAAAGd7/wI=")</f>
        <v>#REF!</v>
      </c>
      <c r="D29" t="e">
        <f>AND(INPUT!#REF!,"AAAAAGd7/wM=")</f>
        <v>#REF!</v>
      </c>
      <c r="E29" t="e">
        <f>AND(INPUT!G63,"AAAAAGd7/wQ=")</f>
        <v>#VALUE!</v>
      </c>
      <c r="F29" t="e">
        <f>AND(INPUT!J54,"AAAAAGd7/wU=")</f>
        <v>#VALUE!</v>
      </c>
      <c r="G29" t="e">
        <f>AND(INPUT!K54,"AAAAAGd7/wY=")</f>
        <v>#VALUE!</v>
      </c>
      <c r="H29" t="e">
        <f>AND(INPUT!#REF!,"AAAAAGd7/wc=")</f>
        <v>#REF!</v>
      </c>
      <c r="I29" t="e">
        <f>AND(INPUT!#REF!,"AAAAAGd7/wg=")</f>
        <v>#REF!</v>
      </c>
      <c r="J29" t="e">
        <f>AND(INPUT!G64,"AAAAAGd7/wk=")</f>
        <v>#VALUE!</v>
      </c>
      <c r="K29" t="e">
        <f>AND(INPUT!J59,"AAAAAGd7/wo=")</f>
        <v>#VALUE!</v>
      </c>
      <c r="L29" t="e">
        <f>AND(INPUT!K59,"AAAAAGd7/ws=")</f>
        <v>#VALUE!</v>
      </c>
      <c r="M29" t="e">
        <f>AND(INPUT!#REF!,"AAAAAGd7/ww=")</f>
        <v>#REF!</v>
      </c>
      <c r="N29" t="e">
        <f>AND(INPUT!#REF!,"AAAAAGd7/w0=")</f>
        <v>#REF!</v>
      </c>
      <c r="O29" t="e">
        <f>AND(INPUT!G65,"AAAAAGd7/w4=")</f>
        <v>#VALUE!</v>
      </c>
      <c r="P29" t="e">
        <f>AND(INPUT!J60,"AAAAAGd7/w8=")</f>
        <v>#VALUE!</v>
      </c>
      <c r="Q29" t="e">
        <f>AND(INPUT!K60,"AAAAAGd7/xA=")</f>
        <v>#VALUE!</v>
      </c>
      <c r="R29" t="e">
        <f>AND(INPUT!#REF!,"AAAAAGd7/xE=")</f>
        <v>#REF!</v>
      </c>
      <c r="S29" t="e">
        <f>AND(INPUT!#REF!,"AAAAAGd7/xI=")</f>
        <v>#REF!</v>
      </c>
      <c r="T29" t="e">
        <f>AND(INPUT!G66,"AAAAAGd7/xM=")</f>
        <v>#VALUE!</v>
      </c>
      <c r="U29" t="e">
        <f>AND(INPUT!J61,"AAAAAGd7/xQ=")</f>
        <v>#VALUE!</v>
      </c>
      <c r="V29" t="e">
        <f>AND(INPUT!K61,"AAAAAGd7/xU=")</f>
        <v>#VALUE!</v>
      </c>
      <c r="W29" t="e">
        <f>AND(INPUT!#REF!,"AAAAAGd7/xY=")</f>
        <v>#REF!</v>
      </c>
      <c r="X29" t="e">
        <f>AND(INPUT!#REF!,"AAAAAGd7/xc=")</f>
        <v>#REF!</v>
      </c>
      <c r="Y29" t="e">
        <f>AND(INPUT!G67,"AAAAAGd7/xg=")</f>
        <v>#VALUE!</v>
      </c>
      <c r="Z29" t="e">
        <f>AND(INPUT!J62,"AAAAAGd7/xk=")</f>
        <v>#VALUE!</v>
      </c>
      <c r="AA29" t="e">
        <f>AND(INPUT!K62,"AAAAAGd7/xo=")</f>
        <v>#VALUE!</v>
      </c>
      <c r="AB29" t="e">
        <f>AND(INPUT!#REF!,"AAAAAGd7/xs=")</f>
        <v>#REF!</v>
      </c>
      <c r="AC29" t="e">
        <f>AND(INPUT!#REF!,"AAAAAGd7/xw=")</f>
        <v>#REF!</v>
      </c>
      <c r="AD29" t="e">
        <f>AND(INPUT!G68,"AAAAAGd7/x0=")</f>
        <v>#VALUE!</v>
      </c>
      <c r="AE29" t="e">
        <f>AND(INPUT!J63,"AAAAAGd7/x4=")</f>
        <v>#VALUE!</v>
      </c>
      <c r="AF29" t="e">
        <f>AND(INPUT!K63,"AAAAAGd7/x8=")</f>
        <v>#VALUE!</v>
      </c>
      <c r="AG29" t="e">
        <f>AND(INPUT!#REF!,"AAAAAGd7/yA=")</f>
        <v>#REF!</v>
      </c>
      <c r="AH29" t="e">
        <f>AND(INPUT!#REF!,"AAAAAGd7/yE=")</f>
        <v>#REF!</v>
      </c>
      <c r="AI29">
        <f>IF(INPUT!G:G,"AAAAAGd7/yI=",0)</f>
        <v>0</v>
      </c>
      <c r="AJ29">
        <f>IF(INPUT!J:J,"AAAAAGd7/yM=",0)</f>
        <v>0</v>
      </c>
      <c r="AK29">
        <f>IF(INPUT!K:K,"AAAAAGd7/yQ=",0)</f>
        <v>0</v>
      </c>
      <c r="AL29" t="e">
        <f>IF(INPUT!#REF!,"AAAAAGd7/yU=",0)</f>
        <v>#REF!</v>
      </c>
      <c r="AM29" t="e">
        <f>IF(INPUT!#REF!,"AAAAAGd7/yY=",0)</f>
        <v>#REF!</v>
      </c>
      <c r="AN29" t="e">
        <f>AND(OUTPUT!#REF!,"AAAAAGd7/yc=")</f>
        <v>#REF!</v>
      </c>
      <c r="AO29" t="e">
        <f>AND(OUTPUT!#REF!,"AAAAAGd7/yg=")</f>
        <v>#REF!</v>
      </c>
      <c r="AP29" t="e">
        <f>AND(OUTPUT!#REF!,"AAAAAGd7/yk=")</f>
        <v>#REF!</v>
      </c>
      <c r="AQ29" t="e">
        <f>AND(OUTPUT!#REF!,"AAAAAGd7/yo=")</f>
        <v>#REF!</v>
      </c>
      <c r="AR29" t="e">
        <f>AND(OUTPUT!J10,"AAAAAGd7/ys=")</f>
        <v>#VALUE!</v>
      </c>
      <c r="AS29" t="e">
        <f>AND(OUTPUT!K10,"AAAAAGd7/yw=")</f>
        <v>#VALUE!</v>
      </c>
      <c r="AT29" t="e">
        <f>AND(OUTPUT!#REF!,"AAAAAGd7/y0=")</f>
        <v>#REF!</v>
      </c>
      <c r="AU29" t="e">
        <f>AND(OUTPUT!#REF!,"AAAAAGd7/y4=")</f>
        <v>#REF!</v>
      </c>
      <c r="AV29" t="e">
        <f>AND(OUTPUT!J11,"AAAAAGd7/y8=")</f>
        <v>#VALUE!</v>
      </c>
      <c r="AW29" t="e">
        <f>AND(OUTPUT!K11,"AAAAAGd7/zA=")</f>
        <v>#VALUE!</v>
      </c>
      <c r="AX29" t="e">
        <f>AND(OUTPUT!#REF!,"AAAAAGd7/zE=")</f>
        <v>#REF!</v>
      </c>
      <c r="AY29" t="e">
        <f>AND(OUTPUT!#REF!,"AAAAAGd7/zI=")</f>
        <v>#REF!</v>
      </c>
      <c r="AZ29" t="e">
        <f>AND(OUTPUT!J12,"AAAAAGd7/zM=")</f>
        <v>#VALUE!</v>
      </c>
      <c r="BA29" t="e">
        <f>AND(OUTPUT!K12,"AAAAAGd7/zQ=")</f>
        <v>#VALUE!</v>
      </c>
      <c r="BB29" t="e">
        <f>AND(OUTPUT!#REF!,"AAAAAGd7/zU=")</f>
        <v>#REF!</v>
      </c>
      <c r="BC29" t="e">
        <f>AND(OUTPUT!#REF!,"AAAAAGd7/zY=")</f>
        <v>#REF!</v>
      </c>
      <c r="BD29" t="e">
        <f>AND(OUTPUT!J13,"AAAAAGd7/zc=")</f>
        <v>#VALUE!</v>
      </c>
      <c r="BE29" t="e">
        <f>AND(OUTPUT!K13,"AAAAAGd7/zg=")</f>
        <v>#VALUE!</v>
      </c>
      <c r="BF29" t="e">
        <f>AND(OUTPUT!#REF!,"AAAAAGd7/zk=")</f>
        <v>#REF!</v>
      </c>
      <c r="BG29" t="e">
        <f>AND(OUTPUT!#REF!,"AAAAAGd7/zo=")</f>
        <v>#REF!</v>
      </c>
      <c r="BH29" t="e">
        <f>AND(OUTPUT!J14,"AAAAAGd7/zs=")</f>
        <v>#VALUE!</v>
      </c>
      <c r="BI29" t="e">
        <f>AND(OUTPUT!K14,"AAAAAGd7/zw=")</f>
        <v>#VALUE!</v>
      </c>
      <c r="BJ29" t="e">
        <f>AND(OUTPUT!#REF!,"AAAAAGd7/z0=")</f>
        <v>#REF!</v>
      </c>
      <c r="BK29" t="e">
        <f>AND(OUTPUT!#REF!,"AAAAAGd7/z4=")</f>
        <v>#REF!</v>
      </c>
      <c r="BL29" t="e">
        <f>AND(OUTPUT!J15,"AAAAAGd7/z8=")</f>
        <v>#VALUE!</v>
      </c>
      <c r="BM29" t="e">
        <f>AND(OUTPUT!K15,"AAAAAGd7/0A=")</f>
        <v>#VALUE!</v>
      </c>
      <c r="BN29" t="e">
        <f>AND(OUTPUT!#REF!,"AAAAAGd7/0E=")</f>
        <v>#REF!</v>
      </c>
      <c r="BO29" t="e">
        <f>AND(OUTPUT!#REF!,"AAAAAGd7/0I=")</f>
        <v>#REF!</v>
      </c>
      <c r="BP29" t="e">
        <f>AND(OUTPUT!J16,"AAAAAGd7/0M=")</f>
        <v>#VALUE!</v>
      </c>
      <c r="BQ29" t="e">
        <f>AND(OUTPUT!K16,"AAAAAGd7/0Q=")</f>
        <v>#VALUE!</v>
      </c>
      <c r="BR29" t="e">
        <f>AND(OUTPUT!#REF!,"AAAAAGd7/0U=")</f>
        <v>#REF!</v>
      </c>
      <c r="BS29" t="e">
        <f>AND(OUTPUT!#REF!,"AAAAAGd7/0Y=")</f>
        <v>#REF!</v>
      </c>
      <c r="BT29" t="e">
        <f>AND(OUTPUT!J17,"AAAAAGd7/0c=")</f>
        <v>#VALUE!</v>
      </c>
      <c r="BU29" t="e">
        <f>AND(OUTPUT!K17,"AAAAAGd7/0g=")</f>
        <v>#VALUE!</v>
      </c>
      <c r="BV29" t="e">
        <f>AND(OUTPUT!#REF!,"AAAAAGd7/0k=")</f>
        <v>#REF!</v>
      </c>
      <c r="BW29" t="e">
        <f>AND(OUTPUT!#REF!,"AAAAAGd7/0o=")</f>
        <v>#REF!</v>
      </c>
      <c r="BX29" t="e">
        <f>AND(OUTPUT!J18,"AAAAAGd7/0s=")</f>
        <v>#VALUE!</v>
      </c>
      <c r="BY29" t="e">
        <f>AND(OUTPUT!K18,"AAAAAGd7/0w=")</f>
        <v>#VALUE!</v>
      </c>
      <c r="BZ29" t="e">
        <f>AND(OUTPUT!#REF!,"AAAAAGd7/00=")</f>
        <v>#REF!</v>
      </c>
      <c r="CA29" t="e">
        <f>AND(OUTPUT!#REF!,"AAAAAGd7/04=")</f>
        <v>#REF!</v>
      </c>
      <c r="CB29" t="e">
        <f>AND(OUTPUT!J19,"AAAAAGd7/08=")</f>
        <v>#VALUE!</v>
      </c>
      <c r="CC29" t="e">
        <f>AND(OUTPUT!K19,"AAAAAGd7/1A=")</f>
        <v>#VALUE!</v>
      </c>
      <c r="CD29" t="e">
        <f>AND(OUTPUT!#REF!,"AAAAAGd7/1E=")</f>
        <v>#REF!</v>
      </c>
      <c r="CE29" t="e">
        <f>AND(OUTPUT!#REF!,"AAAAAGd7/1I=")</f>
        <v>#REF!</v>
      </c>
      <c r="CF29" t="e">
        <f>AND(OUTPUT!J20,"AAAAAGd7/1M=")</f>
        <v>#VALUE!</v>
      </c>
      <c r="CG29" t="e">
        <f>AND(OUTPUT!K20,"AAAAAGd7/1Q=")</f>
        <v>#VALUE!</v>
      </c>
      <c r="CH29" t="e">
        <f>AND(OUTPUT!#REF!,"AAAAAGd7/1U=")</f>
        <v>#REF!</v>
      </c>
      <c r="CI29" t="e">
        <f>AND(OUTPUT!#REF!,"AAAAAGd7/1Y=")</f>
        <v>#REF!</v>
      </c>
      <c r="CJ29" t="e">
        <f>AND(OUTPUT!J21,"AAAAAGd7/1c=")</f>
        <v>#VALUE!</v>
      </c>
      <c r="CK29" t="e">
        <f>AND(OUTPUT!K21,"AAAAAGd7/1g=")</f>
        <v>#VALUE!</v>
      </c>
      <c r="CL29" t="e">
        <f>AND(OUTPUT!#REF!,"AAAAAGd7/1k=")</f>
        <v>#REF!</v>
      </c>
      <c r="CM29" t="e">
        <f>AND(OUTPUT!#REF!,"AAAAAGd7/1o=")</f>
        <v>#REF!</v>
      </c>
      <c r="CN29" t="e">
        <f>AND(OUTPUT!J22,"AAAAAGd7/1s=")</f>
        <v>#VALUE!</v>
      </c>
      <c r="CO29" t="e">
        <f>AND(OUTPUT!K22,"AAAAAGd7/1w=")</f>
        <v>#VALUE!</v>
      </c>
      <c r="CP29" t="e">
        <f>AND(OUTPUT!#REF!,"AAAAAGd7/10=")</f>
        <v>#REF!</v>
      </c>
      <c r="CQ29" t="e">
        <f>AND(OUTPUT!#REF!,"AAAAAGd7/14=")</f>
        <v>#REF!</v>
      </c>
      <c r="CR29" t="e">
        <f>AND(OUTPUT!J23,"AAAAAGd7/18=")</f>
        <v>#VALUE!</v>
      </c>
      <c r="CS29" t="e">
        <f>AND(OUTPUT!K23,"AAAAAGd7/2A=")</f>
        <v>#VALUE!</v>
      </c>
      <c r="CT29" t="e">
        <f>AND(OUTPUT!#REF!,"AAAAAGd7/2E=")</f>
        <v>#REF!</v>
      </c>
      <c r="CU29" t="e">
        <f>AND(OUTPUT!#REF!,"AAAAAGd7/2I=")</f>
        <v>#REF!</v>
      </c>
      <c r="CV29" t="e">
        <f>AND(OUTPUT!J24,"AAAAAGd7/2M=")</f>
        <v>#VALUE!</v>
      </c>
      <c r="CW29" t="e">
        <f>AND(OUTPUT!K24,"AAAAAGd7/2Q=")</f>
        <v>#VALUE!</v>
      </c>
      <c r="CX29" t="e">
        <f>AND(OUTPUT!#REF!,"AAAAAGd7/2U=")</f>
        <v>#REF!</v>
      </c>
      <c r="CY29" t="e">
        <f>AND(OUTPUT!#REF!,"AAAAAGd7/2Y=")</f>
        <v>#REF!</v>
      </c>
      <c r="CZ29" t="e">
        <f>AND(OUTPUT!J25,"AAAAAGd7/2c=")</f>
        <v>#VALUE!</v>
      </c>
      <c r="DA29" t="e">
        <f>AND(OUTPUT!K25,"AAAAAGd7/2g=")</f>
        <v>#VALUE!</v>
      </c>
      <c r="DB29" t="e">
        <f>AND(OUTPUT!#REF!,"AAAAAGd7/2k=")</f>
        <v>#REF!</v>
      </c>
      <c r="DC29" t="e">
        <f>AND(OUTPUT!#REF!,"AAAAAGd7/2o=")</f>
        <v>#REF!</v>
      </c>
      <c r="DD29" t="e">
        <f>AND(OUTPUT!J26,"AAAAAGd7/2s=")</f>
        <v>#VALUE!</v>
      </c>
      <c r="DE29" t="e">
        <f>AND(OUTPUT!K26,"AAAAAGd7/2w=")</f>
        <v>#VALUE!</v>
      </c>
      <c r="DF29" t="e">
        <f>AND(OUTPUT!#REF!,"AAAAAGd7/20=")</f>
        <v>#REF!</v>
      </c>
      <c r="DG29" t="e">
        <f>AND(OUTPUT!#REF!,"AAAAAGd7/24=")</f>
        <v>#REF!</v>
      </c>
      <c r="DH29" t="e">
        <f>AND(OUTPUT!J27,"AAAAAGd7/28=")</f>
        <v>#VALUE!</v>
      </c>
      <c r="DI29" t="e">
        <f>AND(OUTPUT!K27,"AAAAAGd7/3A=")</f>
        <v>#VALUE!</v>
      </c>
      <c r="DJ29" t="e">
        <f>AND(OUTPUT!#REF!,"AAAAAGd7/3E=")</f>
        <v>#REF!</v>
      </c>
      <c r="DK29" t="e">
        <f>AND(OUTPUT!#REF!,"AAAAAGd7/3I=")</f>
        <v>#REF!</v>
      </c>
      <c r="DL29" t="e">
        <f>AND(OUTPUT!J28,"AAAAAGd7/3M=")</f>
        <v>#VALUE!</v>
      </c>
      <c r="DM29" t="e">
        <f>AND(OUTPUT!K28,"AAAAAGd7/3Q=")</f>
        <v>#VALUE!</v>
      </c>
      <c r="DN29" t="e">
        <f>AND(OUTPUT!#REF!,"AAAAAGd7/3U=")</f>
        <v>#REF!</v>
      </c>
      <c r="DO29" t="e">
        <f>AND(OUTPUT!#REF!,"AAAAAGd7/3Y=")</f>
        <v>#REF!</v>
      </c>
      <c r="DP29" t="e">
        <f>AND(OUTPUT!J29,"AAAAAGd7/3c=")</f>
        <v>#VALUE!</v>
      </c>
      <c r="DQ29" t="e">
        <f>AND(OUTPUT!K29,"AAAAAGd7/3g=")</f>
        <v>#VALUE!</v>
      </c>
      <c r="DR29" t="e">
        <f>AND(OUTPUT!#REF!,"AAAAAGd7/3k=")</f>
        <v>#REF!</v>
      </c>
      <c r="DS29" t="e">
        <f>AND(OUTPUT!#REF!,"AAAAAGd7/3o=")</f>
        <v>#REF!</v>
      </c>
      <c r="DT29" t="e">
        <f>AND(OUTPUT!J30,"AAAAAGd7/3s=")</f>
        <v>#VALUE!</v>
      </c>
      <c r="DU29" t="e">
        <f>AND(OUTPUT!K30,"AAAAAGd7/3w=")</f>
        <v>#VALUE!</v>
      </c>
      <c r="DV29" t="e">
        <f>AND(OUTPUT!#REF!,"AAAAAGd7/30=")</f>
        <v>#REF!</v>
      </c>
      <c r="DW29" t="e">
        <f>AND(OUTPUT!#REF!,"AAAAAGd7/34=")</f>
        <v>#REF!</v>
      </c>
      <c r="DX29" t="e">
        <f>AND(OUTPUT!J31,"AAAAAGd7/38=")</f>
        <v>#VALUE!</v>
      </c>
      <c r="DY29" t="e">
        <f>AND(OUTPUT!K31,"AAAAAGd7/4A=")</f>
        <v>#VALUE!</v>
      </c>
      <c r="DZ29" t="e">
        <f>AND(OUTPUT!#REF!,"AAAAAGd7/4E=")</f>
        <v>#REF!</v>
      </c>
      <c r="EA29" t="e">
        <f>AND(OUTPUT!#REF!,"AAAAAGd7/4I=")</f>
        <v>#REF!</v>
      </c>
      <c r="EB29" t="e">
        <f>AND(OUTPUT!J32,"AAAAAGd7/4M=")</f>
        <v>#VALUE!</v>
      </c>
      <c r="EC29" t="e">
        <f>AND(OUTPUT!K32,"AAAAAGd7/4Q=")</f>
        <v>#VALUE!</v>
      </c>
      <c r="ED29" t="e">
        <f>AND(OUTPUT!#REF!,"AAAAAGd7/4U=")</f>
        <v>#REF!</v>
      </c>
      <c r="EE29" t="e">
        <f>AND(OUTPUT!#REF!,"AAAAAGd7/4Y=")</f>
        <v>#REF!</v>
      </c>
      <c r="EF29" t="e">
        <f>AND(OUTPUT!J33,"AAAAAGd7/4c=")</f>
        <v>#VALUE!</v>
      </c>
      <c r="EG29" t="e">
        <f>AND(OUTPUT!K33,"AAAAAGd7/4g=")</f>
        <v>#VALUE!</v>
      </c>
      <c r="EH29" t="e">
        <f>AND(OUTPUT!#REF!,"AAAAAGd7/4k=")</f>
        <v>#REF!</v>
      </c>
      <c r="EI29" t="e">
        <f>AND(OUTPUT!#REF!,"AAAAAGd7/4o=")</f>
        <v>#REF!</v>
      </c>
      <c r="EJ29" t="e">
        <f>AND(OUTPUT!J34,"AAAAAGd7/4s=")</f>
        <v>#VALUE!</v>
      </c>
      <c r="EK29" t="e">
        <f>AND(OUTPUT!K34,"AAAAAGd7/4w=")</f>
        <v>#VALUE!</v>
      </c>
      <c r="EL29" t="e">
        <f>AND(OUTPUT!#REF!,"AAAAAGd7/40=")</f>
        <v>#REF!</v>
      </c>
      <c r="EM29" t="e">
        <f>AND(OUTPUT!#REF!,"AAAAAGd7/44=")</f>
        <v>#REF!</v>
      </c>
      <c r="EN29" t="e">
        <f>AND(OUTPUT!J35,"AAAAAGd7/48=")</f>
        <v>#VALUE!</v>
      </c>
      <c r="EO29" t="e">
        <f>AND(OUTPUT!K35,"AAAAAGd7/5A=")</f>
        <v>#VALUE!</v>
      </c>
      <c r="EP29" t="e">
        <f>AND(OUTPUT!#REF!,"AAAAAGd7/5E=")</f>
        <v>#REF!</v>
      </c>
      <c r="EQ29" t="e">
        <f>AND(OUTPUT!#REF!,"AAAAAGd7/5I=")</f>
        <v>#REF!</v>
      </c>
      <c r="ER29" t="e">
        <f>AND(OUTPUT!J36,"AAAAAGd7/5M=")</f>
        <v>#VALUE!</v>
      </c>
      <c r="ES29" t="e">
        <f>AND(OUTPUT!K36,"AAAAAGd7/5Q=")</f>
        <v>#VALUE!</v>
      </c>
      <c r="ET29" t="e">
        <f>AND(OUTPUT!#REF!,"AAAAAGd7/5U=")</f>
        <v>#REF!</v>
      </c>
      <c r="EU29" t="e">
        <f>AND(OUTPUT!#REF!,"AAAAAGd7/5Y=")</f>
        <v>#REF!</v>
      </c>
      <c r="EV29" t="e">
        <f>AND(OUTPUT!J37,"AAAAAGd7/5c=")</f>
        <v>#VALUE!</v>
      </c>
      <c r="EW29" t="e">
        <f>AND(OUTPUT!K37,"AAAAAGd7/5g=")</f>
        <v>#VALUE!</v>
      </c>
      <c r="EX29" t="e">
        <f>AND(OUTPUT!#REF!,"AAAAAGd7/5k=")</f>
        <v>#REF!</v>
      </c>
      <c r="EY29" t="e">
        <f>AND(OUTPUT!#REF!,"AAAAAGd7/5o=")</f>
        <v>#REF!</v>
      </c>
      <c r="EZ29" t="e">
        <f>AND(OUTPUT!J38,"AAAAAGd7/5s=")</f>
        <v>#VALUE!</v>
      </c>
      <c r="FA29" t="e">
        <f>AND(OUTPUT!K38,"AAAAAGd7/5w=")</f>
        <v>#VALUE!</v>
      </c>
      <c r="FB29" t="e">
        <f>AND(OUTPUT!#REF!,"AAAAAGd7/50=")</f>
        <v>#REF!</v>
      </c>
      <c r="FC29" t="e">
        <f>AND(OUTPUT!#REF!,"AAAAAGd7/54=")</f>
        <v>#REF!</v>
      </c>
      <c r="FD29" t="e">
        <f>AND(OUTPUT!J39,"AAAAAGd7/58=")</f>
        <v>#VALUE!</v>
      </c>
      <c r="FE29" t="e">
        <f>AND(OUTPUT!K39,"AAAAAGd7/6A=")</f>
        <v>#VALUE!</v>
      </c>
      <c r="FF29" t="e">
        <f>AND(OUTPUT!#REF!,"AAAAAGd7/6E=")</f>
        <v>#REF!</v>
      </c>
      <c r="FG29" t="e">
        <f>AND(OUTPUT!#REF!,"AAAAAGd7/6I=")</f>
        <v>#REF!</v>
      </c>
      <c r="FH29" t="e">
        <f>AND(OUTPUT!J40,"AAAAAGd7/6M=")</f>
        <v>#VALUE!</v>
      </c>
      <c r="FI29" t="e">
        <f>AND(OUTPUT!K40,"AAAAAGd7/6Q=")</f>
        <v>#VALUE!</v>
      </c>
      <c r="FJ29" t="e">
        <f>AND(OUTPUT!#REF!,"AAAAAGd7/6U=")</f>
        <v>#REF!</v>
      </c>
      <c r="FK29" t="e">
        <f>AND(OUTPUT!#REF!,"AAAAAGd7/6Y=")</f>
        <v>#REF!</v>
      </c>
      <c r="FL29" t="e">
        <f>AND(OUTPUT!J41,"AAAAAGd7/6c=")</f>
        <v>#VALUE!</v>
      </c>
      <c r="FM29" t="e">
        <f>AND(OUTPUT!K41,"AAAAAGd7/6g=")</f>
        <v>#VALUE!</v>
      </c>
      <c r="FN29" t="e">
        <f>AND(OUTPUT!#REF!,"AAAAAGd7/6k=")</f>
        <v>#REF!</v>
      </c>
      <c r="FO29" t="e">
        <f>AND(OUTPUT!#REF!,"AAAAAGd7/6o=")</f>
        <v>#REF!</v>
      </c>
      <c r="FP29" t="e">
        <f>AND(OUTPUT!J42,"AAAAAGd7/6s=")</f>
        <v>#VALUE!</v>
      </c>
      <c r="FQ29" t="e">
        <f>AND(OUTPUT!K42,"AAAAAGd7/6w=")</f>
        <v>#VALUE!</v>
      </c>
      <c r="FR29" t="e">
        <f>AND(OUTPUT!#REF!,"AAAAAGd7/60=")</f>
        <v>#REF!</v>
      </c>
      <c r="FS29" t="e">
        <f>AND(OUTPUT!#REF!,"AAAAAGd7/64=")</f>
        <v>#REF!</v>
      </c>
      <c r="FT29" t="e">
        <f>AND(OUTPUT!J43,"AAAAAGd7/68=")</f>
        <v>#VALUE!</v>
      </c>
      <c r="FU29" t="e">
        <f>AND(OUTPUT!K43,"AAAAAGd7/7A=")</f>
        <v>#VALUE!</v>
      </c>
      <c r="FV29" t="e">
        <f>AND(OUTPUT!#REF!,"AAAAAGd7/7E=")</f>
        <v>#REF!</v>
      </c>
      <c r="FW29" t="e">
        <f>AND(OUTPUT!#REF!,"AAAAAGd7/7I=")</f>
        <v>#REF!</v>
      </c>
      <c r="FX29" t="e">
        <f>AND(OUTPUT!J44,"AAAAAGd7/7M=")</f>
        <v>#VALUE!</v>
      </c>
      <c r="FY29" t="e">
        <f>AND(OUTPUT!K44,"AAAAAGd7/7Q=")</f>
        <v>#VALUE!</v>
      </c>
      <c r="FZ29" t="e">
        <f>AND(OUTPUT!#REF!,"AAAAAGd7/7U=")</f>
        <v>#REF!</v>
      </c>
      <c r="GA29" t="e">
        <f>AND(OUTPUT!#REF!,"AAAAAGd7/7Y=")</f>
        <v>#REF!</v>
      </c>
      <c r="GB29" t="e">
        <f>AND(OUTPUT!J45,"AAAAAGd7/7c=")</f>
        <v>#VALUE!</v>
      </c>
      <c r="GC29" t="e">
        <f>AND(OUTPUT!K45,"AAAAAGd7/7g=")</f>
        <v>#VALUE!</v>
      </c>
      <c r="GD29" t="e">
        <f>AND(OUTPUT!#REF!,"AAAAAGd7/7k=")</f>
        <v>#REF!</v>
      </c>
      <c r="GE29" t="e">
        <f>AND(OUTPUT!#REF!,"AAAAAGd7/7o=")</f>
        <v>#REF!</v>
      </c>
      <c r="GF29" t="e">
        <f>AND(OUTPUT!J46,"AAAAAGd7/7s=")</f>
        <v>#VALUE!</v>
      </c>
      <c r="GG29" t="e">
        <f>AND(OUTPUT!K46,"AAAAAGd7/7w=")</f>
        <v>#VALUE!</v>
      </c>
      <c r="GH29" t="e">
        <f>AND(OUTPUT!#REF!,"AAAAAGd7/70=")</f>
        <v>#REF!</v>
      </c>
      <c r="GI29" t="e">
        <f>AND(OUTPUT!#REF!,"AAAAAGd7/74=")</f>
        <v>#REF!</v>
      </c>
      <c r="GJ29" t="e">
        <f>AND(OUTPUT!J47,"AAAAAGd7/78=")</f>
        <v>#VALUE!</v>
      </c>
      <c r="GK29" t="e">
        <f>AND(OUTPUT!K47,"AAAAAGd7/8A=")</f>
        <v>#VALUE!</v>
      </c>
      <c r="GL29" t="e">
        <f>AND(OUTPUT!#REF!,"AAAAAGd7/8E=")</f>
        <v>#REF!</v>
      </c>
      <c r="GM29" t="e">
        <f>AND(OUTPUT!#REF!,"AAAAAGd7/8I=")</f>
        <v>#REF!</v>
      </c>
      <c r="GN29" t="e">
        <f>AND(OUTPUT!J48,"AAAAAGd7/8M=")</f>
        <v>#VALUE!</v>
      </c>
      <c r="GO29" t="e">
        <f>AND(OUTPUT!K48,"AAAAAGd7/8Q=")</f>
        <v>#VALUE!</v>
      </c>
      <c r="GP29" t="e">
        <f>AND(OUTPUT!#REF!,"AAAAAGd7/8U=")</f>
        <v>#REF!</v>
      </c>
      <c r="GQ29" t="e">
        <f>AND(OUTPUT!#REF!,"AAAAAGd7/8Y=")</f>
        <v>#REF!</v>
      </c>
      <c r="GR29" t="e">
        <f>AND(OUTPUT!J49,"AAAAAGd7/8c=")</f>
        <v>#VALUE!</v>
      </c>
      <c r="GS29" t="e">
        <f>AND(OUTPUT!K49,"AAAAAGd7/8g=")</f>
        <v>#VALUE!</v>
      </c>
      <c r="GT29" t="e">
        <f>AND(OUTPUT!#REF!,"AAAAAGd7/8k=")</f>
        <v>#REF!</v>
      </c>
      <c r="GU29" t="e">
        <f>AND(OUTPUT!#REF!,"AAAAAGd7/8o=")</f>
        <v>#REF!</v>
      </c>
      <c r="GV29" t="e">
        <f>AND(OUTPUT!J50,"AAAAAGd7/8s=")</f>
        <v>#VALUE!</v>
      </c>
      <c r="GW29" t="e">
        <f>AND(OUTPUT!K50,"AAAAAGd7/8w=")</f>
        <v>#VALUE!</v>
      </c>
      <c r="GX29" t="e">
        <f>AND(OUTPUT!#REF!,"AAAAAGd7/80=")</f>
        <v>#REF!</v>
      </c>
      <c r="GY29" t="e">
        <f>AND(OUTPUT!#REF!,"AAAAAGd7/84=")</f>
        <v>#REF!</v>
      </c>
      <c r="GZ29" t="e">
        <f>AND(OUTPUT!J51,"AAAAAGd7/88=")</f>
        <v>#VALUE!</v>
      </c>
      <c r="HA29" t="e">
        <f>AND(OUTPUT!K51,"AAAAAGd7/9A=")</f>
        <v>#VALUE!</v>
      </c>
      <c r="HB29" t="e">
        <f>AND(OUTPUT!#REF!,"AAAAAGd7/9E=")</f>
        <v>#REF!</v>
      </c>
      <c r="HC29" t="e">
        <f>AND(OUTPUT!#REF!,"AAAAAGd7/9I=")</f>
        <v>#REF!</v>
      </c>
      <c r="HD29" t="e">
        <f>AND(OUTPUT!J52,"AAAAAGd7/9M=")</f>
        <v>#VALUE!</v>
      </c>
      <c r="HE29" t="e">
        <f>AND(OUTPUT!K52,"AAAAAGd7/9Q=")</f>
        <v>#VALUE!</v>
      </c>
      <c r="HF29" t="e">
        <f>AND(OUTPUT!#REF!,"AAAAAGd7/9U=")</f>
        <v>#REF!</v>
      </c>
      <c r="HG29" t="e">
        <f>AND(OUTPUT!#REF!,"AAAAAGd7/9Y=")</f>
        <v>#REF!</v>
      </c>
      <c r="HH29" t="e">
        <f>AND(OUTPUT!J53,"AAAAAGd7/9c=")</f>
        <v>#VALUE!</v>
      </c>
      <c r="HI29" t="e">
        <f>AND(OUTPUT!K53,"AAAAAGd7/9g=")</f>
        <v>#VALUE!</v>
      </c>
      <c r="HJ29" t="e">
        <f>AND(OUTPUT!#REF!,"AAAAAGd7/9k=")</f>
        <v>#REF!</v>
      </c>
      <c r="HK29" t="e">
        <f>AND(OUTPUT!#REF!,"AAAAAGd7/9o=")</f>
        <v>#REF!</v>
      </c>
      <c r="HL29" t="e">
        <f>AND(OUTPUT!J54,"AAAAAGd7/9s=")</f>
        <v>#VALUE!</v>
      </c>
      <c r="HM29" t="e">
        <f>AND(OUTPUT!K54,"AAAAAGd7/9w=")</f>
        <v>#VALUE!</v>
      </c>
      <c r="HN29" t="e">
        <f>AND(OUTPUT!#REF!,"AAAAAGd7/90=")</f>
        <v>#REF!</v>
      </c>
      <c r="HO29" t="e">
        <f>AND(OUTPUT!#REF!,"AAAAAGd7/94=")</f>
        <v>#REF!</v>
      </c>
      <c r="HP29" t="e">
        <f>AND(OUTPUT!J55,"AAAAAGd7/98=")</f>
        <v>#VALUE!</v>
      </c>
      <c r="HQ29" t="e">
        <f>AND(OUTPUT!K55,"AAAAAGd7/+A=")</f>
        <v>#VALUE!</v>
      </c>
      <c r="HR29" t="e">
        <f>AND(OUTPUT!#REF!,"AAAAAGd7/+E=")</f>
        <v>#REF!</v>
      </c>
      <c r="HS29" t="e">
        <f>AND(OUTPUT!#REF!,"AAAAAGd7/+I=")</f>
        <v>#REF!</v>
      </c>
      <c r="HT29" t="e">
        <f>AND(OUTPUT!J56,"AAAAAGd7/+M=")</f>
        <v>#VALUE!</v>
      </c>
      <c r="HU29" t="e">
        <f>AND(OUTPUT!K56,"AAAAAGd7/+Q=")</f>
        <v>#VALUE!</v>
      </c>
      <c r="HV29" t="e">
        <f>AND(OUTPUT!#REF!,"AAAAAGd7/+U=")</f>
        <v>#REF!</v>
      </c>
      <c r="HW29" t="e">
        <f>AND(OUTPUT!#REF!,"AAAAAGd7/+Y=")</f>
        <v>#REF!</v>
      </c>
      <c r="HX29" t="e">
        <f>AND(OUTPUT!J57,"AAAAAGd7/+c=")</f>
        <v>#VALUE!</v>
      </c>
      <c r="HY29" t="e">
        <f>AND(OUTPUT!K57,"AAAAAGd7/+g=")</f>
        <v>#VALUE!</v>
      </c>
      <c r="HZ29" t="e">
        <f>AND(OUTPUT!#REF!,"AAAAAGd7/+k=")</f>
        <v>#REF!</v>
      </c>
      <c r="IA29" t="e">
        <f>AND(OUTPUT!#REF!,"AAAAAGd7/+o=")</f>
        <v>#REF!</v>
      </c>
      <c r="IB29" t="e">
        <f>AND(OUTPUT!J58,"AAAAAGd7/+s=")</f>
        <v>#VALUE!</v>
      </c>
      <c r="IC29" t="e">
        <f>AND(OUTPUT!K58,"AAAAAGd7/+w=")</f>
        <v>#VALUE!</v>
      </c>
      <c r="ID29" t="e">
        <f>AND(OUTPUT!#REF!,"AAAAAGd7/+0=")</f>
        <v>#REF!</v>
      </c>
      <c r="IE29" t="e">
        <f>AND(OUTPUT!#REF!,"AAAAAGd7/+4=")</f>
        <v>#REF!</v>
      </c>
      <c r="IF29" t="e">
        <f>AND(OUTPUT!J59,"AAAAAGd7/+8=")</f>
        <v>#VALUE!</v>
      </c>
      <c r="IG29" t="e">
        <f>AND(OUTPUT!K59,"AAAAAGd7//A=")</f>
        <v>#VALUE!</v>
      </c>
      <c r="IH29" t="e">
        <f>AND(OUTPUT!#REF!,"AAAAAGd7//E=")</f>
        <v>#REF!</v>
      </c>
      <c r="II29" t="e">
        <f>AND(OUTPUT!#REF!,"AAAAAGd7//I=")</f>
        <v>#REF!</v>
      </c>
      <c r="IJ29" t="e">
        <f>AND(OUTPUT!J60,"AAAAAGd7//M=")</f>
        <v>#VALUE!</v>
      </c>
      <c r="IK29" t="e">
        <f>AND(OUTPUT!K60,"AAAAAGd7//Q=")</f>
        <v>#VALUE!</v>
      </c>
      <c r="IL29" t="e">
        <f>AND(OUTPUT!#REF!,"AAAAAGd7//U=")</f>
        <v>#REF!</v>
      </c>
      <c r="IM29" t="e">
        <f>AND(OUTPUT!#REF!,"AAAAAGd7//Y=")</f>
        <v>#REF!</v>
      </c>
      <c r="IN29" t="e">
        <f>AND(OUTPUT!J61,"AAAAAGd7//c=")</f>
        <v>#VALUE!</v>
      </c>
      <c r="IO29" t="e">
        <f>AND(OUTPUT!K61,"AAAAAGd7//g=")</f>
        <v>#VALUE!</v>
      </c>
      <c r="IP29" t="e">
        <f>AND(OUTPUT!#REF!,"AAAAAGd7//k=")</f>
        <v>#REF!</v>
      </c>
      <c r="IQ29" t="e">
        <f>AND(OUTPUT!#REF!,"AAAAAGd7//o=")</f>
        <v>#REF!</v>
      </c>
      <c r="IR29" t="e">
        <f>AND(OUTPUT!J62,"AAAAAGd7//s=")</f>
        <v>#VALUE!</v>
      </c>
      <c r="IS29" t="e">
        <f>AND(OUTPUT!K62,"AAAAAGd7//w=")</f>
        <v>#VALUE!</v>
      </c>
      <c r="IT29" t="e">
        <f>AND(OUTPUT!#REF!,"AAAAAGd7//0=")</f>
        <v>#REF!</v>
      </c>
      <c r="IU29" t="e">
        <f>AND(OUTPUT!#REF!,"AAAAAGd7//4=")</f>
        <v>#REF!</v>
      </c>
      <c r="IV29" t="e">
        <f>AND(OUTPUT!J63,"AAAAAGd7//8=")</f>
        <v>#VALUE!</v>
      </c>
    </row>
    <row r="30" spans="1:256" x14ac:dyDescent="0.2">
      <c r="A30" t="e">
        <f>AND(OUTPUT!K63,"AAAAAD1erQA=")</f>
        <v>#VALUE!</v>
      </c>
      <c r="B30" t="e">
        <f>AND(OUTPUT!#REF!,"AAAAAD1erQE=")</f>
        <v>#REF!</v>
      </c>
      <c r="C30" t="e">
        <f>AND(OUTPUT!#REF!,"AAAAAD1erQI=")</f>
        <v>#REF!</v>
      </c>
      <c r="D30" t="e">
        <f>AND(OUTPUT!J64,"AAAAAD1erQM=")</f>
        <v>#VALUE!</v>
      </c>
      <c r="E30" t="e">
        <f>AND(OUTPUT!K64,"AAAAAD1erQQ=")</f>
        <v>#VALUE!</v>
      </c>
      <c r="F30" t="e">
        <f>AND(OUTPUT!#REF!,"AAAAAD1erQU=")</f>
        <v>#REF!</v>
      </c>
      <c r="G30" t="e">
        <f>AND(OUTPUT!#REF!,"AAAAAD1erQY=")</f>
        <v>#REF!</v>
      </c>
      <c r="H30" t="e">
        <f>AND(OUTPUT!J65,"AAAAAD1erQc=")</f>
        <v>#VALUE!</v>
      </c>
      <c r="I30" t="e">
        <f>AND(OUTPUT!K65,"AAAAAD1erQg=")</f>
        <v>#VALUE!</v>
      </c>
      <c r="J30" t="e">
        <f>AND(OUTPUT!#REF!,"AAAAAD1erQk=")</f>
        <v>#REF!</v>
      </c>
      <c r="K30" t="e">
        <f>AND(OUTPUT!#REF!,"AAAAAD1erQo=")</f>
        <v>#REF!</v>
      </c>
      <c r="L30" t="e">
        <f>AND(OUTPUT!J66,"AAAAAD1erQs=")</f>
        <v>#VALUE!</v>
      </c>
      <c r="M30" t="e">
        <f>AND(OUTPUT!K66,"AAAAAD1erQw=")</f>
        <v>#VALUE!</v>
      </c>
      <c r="N30" t="e">
        <f>AND(OUTPUT!#REF!,"AAAAAD1erQ0=")</f>
        <v>#REF!</v>
      </c>
      <c r="O30" t="e">
        <f>AND(OUTPUT!#REF!,"AAAAAD1erQ4=")</f>
        <v>#REF!</v>
      </c>
      <c r="P30" t="e">
        <f>AND(OUTPUT!J67,"AAAAAD1erQ8=")</f>
        <v>#VALUE!</v>
      </c>
      <c r="Q30" t="e">
        <f>AND(OUTPUT!K67,"AAAAAD1erRA=")</f>
        <v>#VALUE!</v>
      </c>
      <c r="R30" t="e">
        <f>AND(OUTPUT!#REF!,"AAAAAD1erRE=")</f>
        <v>#REF!</v>
      </c>
      <c r="S30" t="e">
        <f>AND(OUTPUT!#REF!,"AAAAAD1erRI=")</f>
        <v>#REF!</v>
      </c>
      <c r="T30" t="e">
        <f>AND(OUTPUT!J68,"AAAAAD1erRM=")</f>
        <v>#VALUE!</v>
      </c>
      <c r="U30" t="e">
        <f>AND(OUTPUT!K68,"AAAAAD1erRQ=")</f>
        <v>#VALUE!</v>
      </c>
      <c r="V30" t="e">
        <f>AND(OUTPUT!#REF!,"AAAAAD1erRU=")</f>
        <v>#REF!</v>
      </c>
      <c r="W30" t="e">
        <f>AND(OUTPUT!#REF!,"AAAAAD1erRY=")</f>
        <v>#REF!</v>
      </c>
      <c r="X30" t="e">
        <f>AND(OUTPUT!J69,"AAAAAD1erRc=")</f>
        <v>#VALUE!</v>
      </c>
      <c r="Y30" t="e">
        <f>AND(OUTPUT!K69,"AAAAAD1erRg=")</f>
        <v>#VALUE!</v>
      </c>
      <c r="Z30" t="e">
        <f>AND(OUTPUT!#REF!,"AAAAAD1erRk=")</f>
        <v>#REF!</v>
      </c>
      <c r="AA30" t="e">
        <f>AND(OUTPUT!#REF!,"AAAAAD1erRo=")</f>
        <v>#REF!</v>
      </c>
      <c r="AB30" t="e">
        <f>AND(OUTPUT!J70,"AAAAAD1erRs=")</f>
        <v>#VALUE!</v>
      </c>
      <c r="AC30" t="e">
        <f>AND(OUTPUT!K70,"AAAAAD1erRw=")</f>
        <v>#VALUE!</v>
      </c>
      <c r="AD30" t="e">
        <f>AND(OUTPUT!#REF!,"AAAAAD1erR0=")</f>
        <v>#REF!</v>
      </c>
      <c r="AE30" t="e">
        <f>AND(OUTPUT!#REF!,"AAAAAD1erR4=")</f>
        <v>#REF!</v>
      </c>
      <c r="AF30" t="e">
        <f>AND(OUTPUT!J71,"AAAAAD1erR8=")</f>
        <v>#VALUE!</v>
      </c>
      <c r="AG30" t="e">
        <f>AND(OUTPUT!K71,"AAAAAD1erSA=")</f>
        <v>#VALUE!</v>
      </c>
      <c r="AH30" t="e">
        <f>AND(OUTPUT!#REF!,"AAAAAD1erSE=")</f>
        <v>#REF!</v>
      </c>
      <c r="AI30" t="e">
        <f>AND(OUTPUT!#REF!,"AAAAAD1erSI=")</f>
        <v>#REF!</v>
      </c>
      <c r="AJ30" t="e">
        <f>AND(OUTPUT!J72,"AAAAAD1erSM=")</f>
        <v>#VALUE!</v>
      </c>
      <c r="AK30" t="e">
        <f>AND(OUTPUT!K72,"AAAAAD1erSQ=")</f>
        <v>#VALUE!</v>
      </c>
      <c r="AL30" t="e">
        <f>AND(OUTPUT!#REF!,"AAAAAD1erSU=")</f>
        <v>#REF!</v>
      </c>
      <c r="AM30" t="e">
        <f>AND(OUTPUT!#REF!,"AAAAAD1erSY=")</f>
        <v>#REF!</v>
      </c>
      <c r="AN30" t="e">
        <f>AND(OUTPUT!J73,"AAAAAD1erSc=")</f>
        <v>#VALUE!</v>
      </c>
      <c r="AO30" t="e">
        <f>AND(OUTPUT!K73,"AAAAAD1erSg=")</f>
        <v>#VALUE!</v>
      </c>
      <c r="AP30" t="e">
        <f>AND(OUTPUT!#REF!,"AAAAAD1erSk=")</f>
        <v>#REF!</v>
      </c>
      <c r="AQ30" t="e">
        <f>AND(OUTPUT!#REF!,"AAAAAD1erSo=")</f>
        <v>#REF!</v>
      </c>
      <c r="AR30" t="e">
        <f>AND(OUTPUT!J74,"AAAAAD1erSs=")</f>
        <v>#VALUE!</v>
      </c>
      <c r="AS30" t="e">
        <f>AND(OUTPUT!K74,"AAAAAD1erSw=")</f>
        <v>#VALUE!</v>
      </c>
      <c r="AT30" t="e">
        <f>AND(OUTPUT!#REF!,"AAAAAD1erS0=")</f>
        <v>#REF!</v>
      </c>
      <c r="AU30" t="e">
        <f>AND(OUTPUT!#REF!,"AAAAAD1erS4=")</f>
        <v>#REF!</v>
      </c>
      <c r="AV30" t="e">
        <f>AND(OUTPUT!J75,"AAAAAD1erS8=")</f>
        <v>#VALUE!</v>
      </c>
      <c r="AW30" t="e">
        <f>AND(OUTPUT!K75,"AAAAAD1erTA=")</f>
        <v>#VALUE!</v>
      </c>
      <c r="AX30" t="e">
        <f>AND(OUTPUT!#REF!,"AAAAAD1erTE=")</f>
        <v>#REF!</v>
      </c>
      <c r="AY30" t="e">
        <f>AND(OUTPUT!#REF!,"AAAAAD1erTI=")</f>
        <v>#REF!</v>
      </c>
      <c r="AZ30" t="e">
        <f>AND(OUTPUT!J76,"AAAAAD1erTM=")</f>
        <v>#VALUE!</v>
      </c>
      <c r="BA30" t="e">
        <f>AND(OUTPUT!K76,"AAAAAD1erTQ=")</f>
        <v>#VALUE!</v>
      </c>
      <c r="BB30" t="e">
        <f>AND(OUTPUT!#REF!,"AAAAAD1erTU=")</f>
        <v>#REF!</v>
      </c>
      <c r="BC30" t="e">
        <f>AND(OUTPUT!#REF!,"AAAAAD1erTY=")</f>
        <v>#REF!</v>
      </c>
      <c r="BD30" t="e">
        <f>AND(OUTPUT!J77,"AAAAAD1erTc=")</f>
        <v>#VALUE!</v>
      </c>
      <c r="BE30" t="e">
        <f>AND(OUTPUT!K77,"AAAAAD1erTg=")</f>
        <v>#VALUE!</v>
      </c>
      <c r="BF30" t="e">
        <f>AND(OUTPUT!#REF!,"AAAAAD1erTk=")</f>
        <v>#REF!</v>
      </c>
      <c r="BG30" t="e">
        <f>AND(OUTPUT!#REF!,"AAAAAD1erTo=")</f>
        <v>#REF!</v>
      </c>
      <c r="BH30" t="e">
        <f>AND(OUTPUT!J78,"AAAAAD1erTs=")</f>
        <v>#VALUE!</v>
      </c>
      <c r="BI30" t="e">
        <f>AND(OUTPUT!K78,"AAAAAD1erTw=")</f>
        <v>#VALUE!</v>
      </c>
      <c r="BJ30" t="e">
        <f>AND(OUTPUT!#REF!,"AAAAAD1erT0=")</f>
        <v>#REF!</v>
      </c>
      <c r="BK30" t="e">
        <f>AND(OUTPUT!#REF!,"AAAAAD1erT4=")</f>
        <v>#REF!</v>
      </c>
      <c r="BL30" t="e">
        <f>AND(OUTPUT!J79,"AAAAAD1erT8=")</f>
        <v>#VALUE!</v>
      </c>
      <c r="BM30" t="e">
        <f>AND(OUTPUT!K79,"AAAAAD1erUA=")</f>
        <v>#VALUE!</v>
      </c>
      <c r="BN30" t="e">
        <f>AND(OUTPUT!#REF!,"AAAAAD1erUE=")</f>
        <v>#REF!</v>
      </c>
      <c r="BO30" t="e">
        <f>AND(OUTPUT!#REF!,"AAAAAD1erUI=")</f>
        <v>#REF!</v>
      </c>
      <c r="BP30" t="e">
        <f>AND(OUTPUT!J80,"AAAAAD1erUM=")</f>
        <v>#VALUE!</v>
      </c>
      <c r="BQ30" t="e">
        <f>AND(OUTPUT!K80,"AAAAAD1erUQ=")</f>
        <v>#VALUE!</v>
      </c>
      <c r="BR30" t="e">
        <f>AND(OUTPUT!#REF!,"AAAAAD1erUU=")</f>
        <v>#REF!</v>
      </c>
      <c r="BS30" t="e">
        <f>AND(OUTPUT!#REF!,"AAAAAD1erUY=")</f>
        <v>#REF!</v>
      </c>
      <c r="BT30" t="e">
        <f>AND(OUTPUT!J81,"AAAAAD1erUc=")</f>
        <v>#VALUE!</v>
      </c>
      <c r="BU30" t="e">
        <f>AND(OUTPUT!K81,"AAAAAD1erUg=")</f>
        <v>#VALUE!</v>
      </c>
      <c r="BV30" t="e">
        <f>AND(OUTPUT!#REF!,"AAAAAD1erUk=")</f>
        <v>#REF!</v>
      </c>
      <c r="BW30" t="e">
        <f>AND(OUTPUT!#REF!,"AAAAAD1erUo=")</f>
        <v>#REF!</v>
      </c>
      <c r="BX30" t="e">
        <f>AND(OUTPUT!J82,"AAAAAD1erUs=")</f>
        <v>#VALUE!</v>
      </c>
      <c r="BY30" t="e">
        <f>AND(OUTPUT!K82,"AAAAAD1erUw=")</f>
        <v>#VALUE!</v>
      </c>
      <c r="BZ30" t="e">
        <f>AND(OUTPUT!#REF!,"AAAAAD1erU0=")</f>
        <v>#REF!</v>
      </c>
      <c r="CA30" t="e">
        <f>AND(OUTPUT!#REF!,"AAAAAD1erU4=")</f>
        <v>#REF!</v>
      </c>
      <c r="CB30" t="e">
        <f>AND(OUTPUT!J83,"AAAAAD1erU8=")</f>
        <v>#VALUE!</v>
      </c>
      <c r="CC30" t="e">
        <f>AND(OUTPUT!K83,"AAAAAD1erVA=")</f>
        <v>#VALUE!</v>
      </c>
      <c r="CD30" t="e">
        <f>AND(OUTPUT!#REF!,"AAAAAD1erVE=")</f>
        <v>#REF!</v>
      </c>
      <c r="CE30" t="e">
        <f>AND(OUTPUT!#REF!,"AAAAAD1erVI=")</f>
        <v>#REF!</v>
      </c>
      <c r="CF30" t="e">
        <f>AND(OUTPUT!J84,"AAAAAD1erVM=")</f>
        <v>#VALUE!</v>
      </c>
      <c r="CG30" t="e">
        <f>AND(OUTPUT!K84,"AAAAAD1erVQ=")</f>
        <v>#VALUE!</v>
      </c>
      <c r="CH30" t="e">
        <f>AND(OUTPUT!#REF!,"AAAAAD1erVU=")</f>
        <v>#REF!</v>
      </c>
      <c r="CI30" t="e">
        <f>AND(OUTPUT!#REF!,"AAAAAD1erVY=")</f>
        <v>#REF!</v>
      </c>
      <c r="CJ30" t="e">
        <f>AND(OUTPUT!J85,"AAAAAD1erVc=")</f>
        <v>#VALUE!</v>
      </c>
      <c r="CK30" t="e">
        <f>AND(OUTPUT!K85,"AAAAAD1erVg=")</f>
        <v>#VALUE!</v>
      </c>
      <c r="CL30" t="e">
        <f>AND(OUTPUT!#REF!,"AAAAAD1erVk=")</f>
        <v>#REF!</v>
      </c>
      <c r="CM30" t="e">
        <f>AND(OUTPUT!#REF!,"AAAAAD1erVo=")</f>
        <v>#REF!</v>
      </c>
      <c r="CN30" t="e">
        <f>AND(OUTPUT!J86,"AAAAAD1erVs=")</f>
        <v>#VALUE!</v>
      </c>
      <c r="CO30" t="e">
        <f>AND(OUTPUT!K86,"AAAAAD1erVw=")</f>
        <v>#VALUE!</v>
      </c>
      <c r="CP30" t="e">
        <f>AND(OUTPUT!#REF!,"AAAAAD1erV0=")</f>
        <v>#REF!</v>
      </c>
      <c r="CQ30" t="e">
        <f>AND(OUTPUT!#REF!,"AAAAAD1erV4=")</f>
        <v>#REF!</v>
      </c>
      <c r="CR30" t="e">
        <f>AND(OUTPUT!J87,"AAAAAD1erV8=")</f>
        <v>#VALUE!</v>
      </c>
      <c r="CS30" t="e">
        <f>AND(OUTPUT!K87,"AAAAAD1erWA=")</f>
        <v>#VALUE!</v>
      </c>
      <c r="CT30" t="e">
        <f>AND(OUTPUT!#REF!,"AAAAAD1erWE=")</f>
        <v>#REF!</v>
      </c>
      <c r="CU30" t="e">
        <f>AND(OUTPUT!#REF!,"AAAAAD1erWI=")</f>
        <v>#REF!</v>
      </c>
      <c r="CV30" t="e">
        <f>AND(OUTPUT!J88,"AAAAAD1erWM=")</f>
        <v>#VALUE!</v>
      </c>
      <c r="CW30" t="e">
        <f>AND(OUTPUT!K88,"AAAAAD1erWQ=")</f>
        <v>#VALUE!</v>
      </c>
      <c r="CX30" t="e">
        <f>AND(OUTPUT!#REF!,"AAAAAD1erWU=")</f>
        <v>#REF!</v>
      </c>
      <c r="CY30" t="e">
        <f>AND(OUTPUT!#REF!,"AAAAAD1erWY=")</f>
        <v>#REF!</v>
      </c>
      <c r="CZ30" t="e">
        <f>AND(OUTPUT!J89,"AAAAAD1erWc=")</f>
        <v>#VALUE!</v>
      </c>
      <c r="DA30" t="e">
        <f>AND(OUTPUT!K89,"AAAAAD1erWg=")</f>
        <v>#VALUE!</v>
      </c>
      <c r="DB30" t="e">
        <f>AND(OUTPUT!#REF!,"AAAAAD1erWk=")</f>
        <v>#REF!</v>
      </c>
      <c r="DC30" t="e">
        <f>AND(OUTPUT!#REF!,"AAAAAD1erWo=")</f>
        <v>#REF!</v>
      </c>
      <c r="DD30" t="e">
        <f>AND(OUTPUT!J90,"AAAAAD1erWs=")</f>
        <v>#VALUE!</v>
      </c>
      <c r="DE30" t="e">
        <f>AND(OUTPUT!K90,"AAAAAD1erWw=")</f>
        <v>#VALUE!</v>
      </c>
      <c r="DF30" t="e">
        <f>AND(OUTPUT!#REF!,"AAAAAD1erW0=")</f>
        <v>#REF!</v>
      </c>
      <c r="DG30" t="e">
        <f>AND(OUTPUT!#REF!,"AAAAAD1erW4=")</f>
        <v>#REF!</v>
      </c>
      <c r="DH30" t="e">
        <f>AND(OUTPUT!J91,"AAAAAD1erW8=")</f>
        <v>#VALUE!</v>
      </c>
      <c r="DI30" t="e">
        <f>AND(OUTPUT!K91,"AAAAAD1erXA=")</f>
        <v>#VALUE!</v>
      </c>
      <c r="DJ30" t="e">
        <f>AND(OUTPUT!#REF!,"AAAAAD1erXE=")</f>
        <v>#REF!</v>
      </c>
      <c r="DK30" t="e">
        <f>AND(OUTPUT!#REF!,"AAAAAD1erXI=")</f>
        <v>#REF!</v>
      </c>
      <c r="DL30" t="e">
        <f>AND(OUTPUT!J92,"AAAAAD1erXM=")</f>
        <v>#VALUE!</v>
      </c>
      <c r="DM30" t="e">
        <f>AND(OUTPUT!K92,"AAAAAD1erXQ=")</f>
        <v>#VALUE!</v>
      </c>
      <c r="DN30" t="e">
        <f>AND(OUTPUT!#REF!,"AAAAAD1erXU=")</f>
        <v>#REF!</v>
      </c>
      <c r="DO30" t="e">
        <f>AND(OUTPUT!#REF!,"AAAAAD1erXY=")</f>
        <v>#REF!</v>
      </c>
      <c r="DP30" t="e">
        <f>AND(OUTPUT!J93,"AAAAAD1erXc=")</f>
        <v>#VALUE!</v>
      </c>
      <c r="DQ30" t="e">
        <f>AND(OUTPUT!K93,"AAAAAD1erXg=")</f>
        <v>#VALUE!</v>
      </c>
      <c r="DR30" t="e">
        <f>AND(OUTPUT!#REF!,"AAAAAD1erXk=")</f>
        <v>#REF!</v>
      </c>
      <c r="DS30" t="e">
        <f>AND(OUTPUT!#REF!,"AAAAAD1erXo=")</f>
        <v>#REF!</v>
      </c>
      <c r="DT30" t="e">
        <f>AND(OUTPUT!J94,"AAAAAD1erXs=")</f>
        <v>#VALUE!</v>
      </c>
      <c r="DU30" t="e">
        <f>AND(OUTPUT!K94,"AAAAAD1erXw=")</f>
        <v>#VALUE!</v>
      </c>
      <c r="DV30" t="e">
        <f>AND(OUTPUT!#REF!,"AAAAAD1erX0=")</f>
        <v>#REF!</v>
      </c>
      <c r="DW30" t="e">
        <f>AND(OUTPUT!#REF!,"AAAAAD1erX4=")</f>
        <v>#REF!</v>
      </c>
      <c r="DX30" t="e">
        <f>AND(OUTPUT!J95,"AAAAAD1erX8=")</f>
        <v>#VALUE!</v>
      </c>
      <c r="DY30" t="e">
        <f>AND(OUTPUT!K95,"AAAAAD1erYA=")</f>
        <v>#VALUE!</v>
      </c>
      <c r="DZ30" t="e">
        <f>AND(OUTPUT!#REF!,"AAAAAD1erYE=")</f>
        <v>#REF!</v>
      </c>
      <c r="EA30" t="e">
        <f>AND(OUTPUT!#REF!,"AAAAAD1erYI=")</f>
        <v>#REF!</v>
      </c>
      <c r="EB30" t="e">
        <f>AND(OUTPUT!J96,"AAAAAD1erYM=")</f>
        <v>#VALUE!</v>
      </c>
      <c r="EC30" t="e">
        <f>AND(OUTPUT!K96,"AAAAAD1erYQ=")</f>
        <v>#VALUE!</v>
      </c>
      <c r="ED30" t="e">
        <f>AND(OUTPUT!#REF!,"AAAAAD1erYU=")</f>
        <v>#REF!</v>
      </c>
      <c r="EE30" t="e">
        <f>AND(OUTPUT!#REF!,"AAAAAD1erYY=")</f>
        <v>#REF!</v>
      </c>
      <c r="EF30" t="e">
        <f>AND(OUTPUT!J97,"AAAAAD1erYc=")</f>
        <v>#VALUE!</v>
      </c>
      <c r="EG30" t="e">
        <f>AND(OUTPUT!K97,"AAAAAD1erYg=")</f>
        <v>#VALUE!</v>
      </c>
      <c r="EH30" t="e">
        <f>AND(OUTPUT!#REF!,"AAAAAD1erYk=")</f>
        <v>#REF!</v>
      </c>
      <c r="EI30" t="e">
        <f>AND(OUTPUT!#REF!,"AAAAAD1erYo=")</f>
        <v>#REF!</v>
      </c>
      <c r="EJ30" t="e">
        <f>AND(OUTPUT!J98,"AAAAAD1erYs=")</f>
        <v>#VALUE!</v>
      </c>
      <c r="EK30" t="e">
        <f>AND(OUTPUT!K98,"AAAAAD1erYw=")</f>
        <v>#VALUE!</v>
      </c>
      <c r="EL30" t="e">
        <f>AND(OUTPUT!#REF!,"AAAAAD1erY0=")</f>
        <v>#REF!</v>
      </c>
      <c r="EM30" t="e">
        <f>AND(OUTPUT!#REF!,"AAAAAD1erY4=")</f>
        <v>#REF!</v>
      </c>
      <c r="EN30" t="e">
        <f>AND(OUTPUT!J99,"AAAAAD1erY8=")</f>
        <v>#VALUE!</v>
      </c>
      <c r="EO30" t="e">
        <f>AND(OUTPUT!K99,"AAAAAD1erZA=")</f>
        <v>#VALUE!</v>
      </c>
      <c r="EP30" t="e">
        <f>AND(OUTPUT!#REF!,"AAAAAD1erZE=")</f>
        <v>#REF!</v>
      </c>
      <c r="EQ30" t="e">
        <f>AND(OUTPUT!#REF!,"AAAAAD1erZI=")</f>
        <v>#REF!</v>
      </c>
      <c r="ER30" t="e">
        <f>AND(OUTPUT!J100,"AAAAAD1erZM=")</f>
        <v>#VALUE!</v>
      </c>
      <c r="ES30" t="e">
        <f>AND(OUTPUT!K100,"AAAAAD1erZQ=")</f>
        <v>#VALUE!</v>
      </c>
      <c r="ET30" t="e">
        <f>AND(OUTPUT!#REF!,"AAAAAD1erZU=")</f>
        <v>#REF!</v>
      </c>
      <c r="EU30" t="e">
        <f>AND(OUTPUT!#REF!,"AAAAAD1erZY=")</f>
        <v>#REF!</v>
      </c>
      <c r="EV30" t="e">
        <f>AND(OUTPUT!J101,"AAAAAD1erZc=")</f>
        <v>#VALUE!</v>
      </c>
      <c r="EW30" t="e">
        <f>AND(OUTPUT!K101,"AAAAAD1erZg=")</f>
        <v>#VALUE!</v>
      </c>
      <c r="EX30" t="e">
        <f>AND(OUTPUT!#REF!,"AAAAAD1erZk=")</f>
        <v>#REF!</v>
      </c>
      <c r="EY30" t="e">
        <f>AND(OUTPUT!#REF!,"AAAAAD1erZo=")</f>
        <v>#REF!</v>
      </c>
      <c r="EZ30" t="e">
        <f>AND(OUTPUT!J102,"AAAAAD1erZs=")</f>
        <v>#VALUE!</v>
      </c>
      <c r="FA30" t="e">
        <f>AND(OUTPUT!K102,"AAAAAD1erZw=")</f>
        <v>#VALUE!</v>
      </c>
      <c r="FB30" t="e">
        <f>AND(OUTPUT!#REF!,"AAAAAD1erZ0=")</f>
        <v>#REF!</v>
      </c>
      <c r="FC30" t="e">
        <f>AND(OUTPUT!#REF!,"AAAAAD1erZ4=")</f>
        <v>#REF!</v>
      </c>
      <c r="FD30" t="e">
        <f>AND(OUTPUT!J103,"AAAAAD1erZ8=")</f>
        <v>#VALUE!</v>
      </c>
      <c r="FE30" t="e">
        <f>AND(OUTPUT!K103,"AAAAAD1eraA=")</f>
        <v>#VALUE!</v>
      </c>
      <c r="FF30" t="e">
        <f>AND(OUTPUT!#REF!,"AAAAAD1eraE=")</f>
        <v>#REF!</v>
      </c>
      <c r="FG30" t="e">
        <f>AND(OUTPUT!#REF!,"AAAAAD1eraI=")</f>
        <v>#REF!</v>
      </c>
      <c r="FH30" t="e">
        <f>AND(OUTPUT!J104,"AAAAAD1eraM=")</f>
        <v>#VALUE!</v>
      </c>
      <c r="FI30" t="e">
        <f>AND(OUTPUT!K104,"AAAAAD1eraQ=")</f>
        <v>#VALUE!</v>
      </c>
      <c r="FJ30" t="e">
        <f>AND(OUTPUT!#REF!,"AAAAAD1eraU=")</f>
        <v>#REF!</v>
      </c>
      <c r="FK30" t="e">
        <f>AND(OUTPUT!#REF!,"AAAAAD1eraY=")</f>
        <v>#REF!</v>
      </c>
      <c r="FL30" t="e">
        <f>AND(OUTPUT!J105,"AAAAAD1erac=")</f>
        <v>#VALUE!</v>
      </c>
      <c r="FM30" t="e">
        <f>AND(OUTPUT!K105,"AAAAAD1erag=")</f>
        <v>#VALUE!</v>
      </c>
      <c r="FN30" t="e">
        <f>AND(OUTPUT!#REF!,"AAAAAD1erak=")</f>
        <v>#REF!</v>
      </c>
      <c r="FO30" t="e">
        <f>AND(OUTPUT!#REF!,"AAAAAD1erao=")</f>
        <v>#REF!</v>
      </c>
      <c r="FP30" t="e">
        <f>AND(OUTPUT!J106,"AAAAAD1eras=")</f>
        <v>#VALUE!</v>
      </c>
      <c r="FQ30" t="e">
        <f>AND(OUTPUT!K106,"AAAAAD1eraw=")</f>
        <v>#VALUE!</v>
      </c>
      <c r="FR30" t="e">
        <f>AND(OUTPUT!#REF!,"AAAAAD1era0=")</f>
        <v>#REF!</v>
      </c>
      <c r="FS30" t="e">
        <f>AND(OUTPUT!#REF!,"AAAAAD1era4=")</f>
        <v>#REF!</v>
      </c>
      <c r="FT30" t="e">
        <f>AND(OUTPUT!J107,"AAAAAD1era8=")</f>
        <v>#VALUE!</v>
      </c>
      <c r="FU30" t="e">
        <f>AND(OUTPUT!K107,"AAAAAD1erbA=")</f>
        <v>#VALUE!</v>
      </c>
      <c r="FV30" t="e">
        <f>AND(OUTPUT!#REF!,"AAAAAD1erbE=")</f>
        <v>#REF!</v>
      </c>
      <c r="FW30" t="e">
        <f>AND(OUTPUT!#REF!,"AAAAAD1erbI=")</f>
        <v>#REF!</v>
      </c>
      <c r="FX30" t="e">
        <f>AND(OUTPUT!J108,"AAAAAD1erbM=")</f>
        <v>#VALUE!</v>
      </c>
      <c r="FY30" t="e">
        <f>AND(OUTPUT!K108,"AAAAAD1erbQ=")</f>
        <v>#VALUE!</v>
      </c>
      <c r="FZ30" t="e">
        <f>AND(OUTPUT!#REF!,"AAAAAD1erbU=")</f>
        <v>#REF!</v>
      </c>
      <c r="GA30" t="e">
        <f>AND(OUTPUT!#REF!,"AAAAAD1erbY=")</f>
        <v>#REF!</v>
      </c>
      <c r="GB30" t="e">
        <f>AND(OUTPUT!J109,"AAAAAD1erbc=")</f>
        <v>#VALUE!</v>
      </c>
      <c r="GC30" t="e">
        <f>AND(OUTPUT!K109,"AAAAAD1erbg=")</f>
        <v>#VALUE!</v>
      </c>
      <c r="GD30" t="e">
        <f>AND(OUTPUT!#REF!,"AAAAAD1erbk=")</f>
        <v>#REF!</v>
      </c>
      <c r="GE30" t="e">
        <f>AND(OUTPUT!#REF!,"AAAAAD1erbo=")</f>
        <v>#REF!</v>
      </c>
      <c r="GF30" t="e">
        <f>AND(OUTPUT!J110,"AAAAAD1erbs=")</f>
        <v>#VALUE!</v>
      </c>
      <c r="GG30" t="e">
        <f>AND(OUTPUT!K110,"AAAAAD1erbw=")</f>
        <v>#VALUE!</v>
      </c>
      <c r="GH30" t="e">
        <f>AND(OUTPUT!#REF!,"AAAAAD1erb0=")</f>
        <v>#REF!</v>
      </c>
      <c r="GI30" t="e">
        <f>AND(OUTPUT!#REF!,"AAAAAD1erb4=")</f>
        <v>#REF!</v>
      </c>
      <c r="GJ30" t="e">
        <f>AND(OUTPUT!J111,"AAAAAD1erb8=")</f>
        <v>#VALUE!</v>
      </c>
      <c r="GK30" t="e">
        <f>AND(OUTPUT!K111,"AAAAAD1ercA=")</f>
        <v>#VALUE!</v>
      </c>
      <c r="GL30" t="e">
        <f>AND(OUTPUT!#REF!,"AAAAAD1ercE=")</f>
        <v>#REF!</v>
      </c>
      <c r="GM30" t="e">
        <f>AND(OUTPUT!#REF!,"AAAAAD1ercI=")</f>
        <v>#REF!</v>
      </c>
      <c r="GN30" t="e">
        <f>AND(OUTPUT!J112,"AAAAAD1ercM=")</f>
        <v>#VALUE!</v>
      </c>
      <c r="GO30" t="e">
        <f>AND(OUTPUT!K112,"AAAAAD1ercQ=")</f>
        <v>#VALUE!</v>
      </c>
      <c r="GP30" t="e">
        <f>AND(OUTPUT!#REF!,"AAAAAD1ercU=")</f>
        <v>#REF!</v>
      </c>
      <c r="GQ30" t="e">
        <f>AND(OUTPUT!#REF!,"AAAAAD1ercY=")</f>
        <v>#REF!</v>
      </c>
      <c r="GR30" t="e">
        <f>AND(OUTPUT!J113,"AAAAAD1ercc=")</f>
        <v>#VALUE!</v>
      </c>
      <c r="GS30" t="e">
        <f>AND(OUTPUT!K113,"AAAAAD1ercg=")</f>
        <v>#VALUE!</v>
      </c>
      <c r="GT30" t="e">
        <f>AND(OUTPUT!#REF!,"AAAAAD1erck=")</f>
        <v>#REF!</v>
      </c>
      <c r="GU30" t="e">
        <f>AND(OUTPUT!#REF!,"AAAAAD1erco=")</f>
        <v>#REF!</v>
      </c>
      <c r="GV30" t="e">
        <f>AND(OUTPUT!J114,"AAAAAD1ercs=")</f>
        <v>#VALUE!</v>
      </c>
      <c r="GW30" t="e">
        <f>AND(OUTPUT!K114,"AAAAAD1ercw=")</f>
        <v>#VALUE!</v>
      </c>
      <c r="GX30" t="e">
        <f>AND(OUTPUT!#REF!,"AAAAAD1erc0=")</f>
        <v>#REF!</v>
      </c>
      <c r="GY30" t="e">
        <f>AND(OUTPUT!#REF!,"AAAAAD1erc4=")</f>
        <v>#REF!</v>
      </c>
      <c r="GZ30" t="e">
        <f>AND(OUTPUT!J115,"AAAAAD1erc8=")</f>
        <v>#VALUE!</v>
      </c>
      <c r="HA30" t="e">
        <f>AND(OUTPUT!K115,"AAAAAD1erdA=")</f>
        <v>#VALUE!</v>
      </c>
      <c r="HB30" t="e">
        <f>AND(OUTPUT!#REF!,"AAAAAD1erdE=")</f>
        <v>#REF!</v>
      </c>
      <c r="HC30" t="e">
        <f>AND(OUTPUT!#REF!,"AAAAAD1erdI=")</f>
        <v>#REF!</v>
      </c>
      <c r="HD30" t="e">
        <f>AND(OUTPUT!J116,"AAAAAD1erdM=")</f>
        <v>#VALUE!</v>
      </c>
      <c r="HE30" t="e">
        <f>AND(OUTPUT!K116,"AAAAAD1erdQ=")</f>
        <v>#VALUE!</v>
      </c>
      <c r="HF30" t="e">
        <f>AND(OUTPUT!#REF!,"AAAAAD1erdU=")</f>
        <v>#REF!</v>
      </c>
      <c r="HG30" t="e">
        <f>AND(OUTPUT!#REF!,"AAAAAD1erdY=")</f>
        <v>#REF!</v>
      </c>
      <c r="HH30" t="e">
        <f>AND(OUTPUT!J117,"AAAAAD1erdc=")</f>
        <v>#VALUE!</v>
      </c>
      <c r="HI30" t="e">
        <f>AND(OUTPUT!K117,"AAAAAD1erdg=")</f>
        <v>#VALUE!</v>
      </c>
      <c r="HJ30" t="e">
        <f>AND(OUTPUT!#REF!,"AAAAAD1erdk=")</f>
        <v>#REF!</v>
      </c>
      <c r="HK30" t="e">
        <f>AND(OUTPUT!#REF!,"AAAAAD1erdo=")</f>
        <v>#REF!</v>
      </c>
      <c r="HL30" t="e">
        <f>AND(OUTPUT!J118,"AAAAAD1erds=")</f>
        <v>#VALUE!</v>
      </c>
      <c r="HM30" t="e">
        <f>AND(OUTPUT!K118,"AAAAAD1erdw=")</f>
        <v>#VALUE!</v>
      </c>
      <c r="HN30" t="e">
        <f>AND(OUTPUT!#REF!,"AAAAAD1erd0=")</f>
        <v>#REF!</v>
      </c>
      <c r="HO30" t="e">
        <f>AND(OUTPUT!#REF!,"AAAAAD1erd4=")</f>
        <v>#REF!</v>
      </c>
      <c r="HP30" t="e">
        <f>AND(OUTPUT!J119,"AAAAAD1erd8=")</f>
        <v>#VALUE!</v>
      </c>
      <c r="HQ30" t="e">
        <f>AND(OUTPUT!K119,"AAAAAD1ereA=")</f>
        <v>#VALUE!</v>
      </c>
      <c r="HR30" t="e">
        <f>AND(OUTPUT!#REF!,"AAAAAD1ereE=")</f>
        <v>#REF!</v>
      </c>
      <c r="HS30" t="e">
        <f>AND(OUTPUT!#REF!,"AAAAAD1ereI=")</f>
        <v>#REF!</v>
      </c>
      <c r="HT30" t="e">
        <f>AND(OUTPUT!J120,"AAAAAD1ereM=")</f>
        <v>#VALUE!</v>
      </c>
      <c r="HU30" t="e">
        <f>AND(OUTPUT!K120,"AAAAAD1ereQ=")</f>
        <v>#VALUE!</v>
      </c>
      <c r="HV30" t="e">
        <f>AND(OUTPUT!#REF!,"AAAAAD1ereU=")</f>
        <v>#REF!</v>
      </c>
      <c r="HW30" t="e">
        <f>AND(OUTPUT!#REF!,"AAAAAD1ereY=")</f>
        <v>#REF!</v>
      </c>
      <c r="HX30" t="e">
        <f>AND(OUTPUT!J121,"AAAAAD1erec=")</f>
        <v>#VALUE!</v>
      </c>
      <c r="HY30" t="e">
        <f>AND(OUTPUT!K121,"AAAAAD1ereg=")</f>
        <v>#VALUE!</v>
      </c>
      <c r="HZ30" t="e">
        <f>AND(OUTPUT!#REF!,"AAAAAD1erek=")</f>
        <v>#REF!</v>
      </c>
      <c r="IA30" t="e">
        <f>AND(OUTPUT!#REF!,"AAAAAD1ereo=")</f>
        <v>#REF!</v>
      </c>
      <c r="IB30" t="e">
        <f>AND(OUTPUT!J122,"AAAAAD1eres=")</f>
        <v>#VALUE!</v>
      </c>
      <c r="IC30" t="e">
        <f>AND(OUTPUT!K122,"AAAAAD1erew=")</f>
        <v>#VALUE!</v>
      </c>
      <c r="ID30" t="e">
        <f>AND(OUTPUT!#REF!,"AAAAAD1ere0=")</f>
        <v>#REF!</v>
      </c>
      <c r="IE30" t="e">
        <f>AND(OUTPUT!#REF!,"AAAAAD1ere4=")</f>
        <v>#REF!</v>
      </c>
      <c r="IF30" t="e">
        <f>AND(OUTPUT!J123,"AAAAAD1ere8=")</f>
        <v>#VALUE!</v>
      </c>
      <c r="IG30" t="e">
        <f>AND(OUTPUT!K123,"AAAAAD1erfA=")</f>
        <v>#VALUE!</v>
      </c>
      <c r="IH30" t="e">
        <f>AND(OUTPUT!#REF!,"AAAAAD1erfE=")</f>
        <v>#REF!</v>
      </c>
      <c r="II30" t="e">
        <f>AND(OUTPUT!#REF!,"AAAAAD1erfI=")</f>
        <v>#REF!</v>
      </c>
      <c r="IJ30" t="e">
        <f>AND(OUTPUT!J124,"AAAAAD1erfM=")</f>
        <v>#VALUE!</v>
      </c>
      <c r="IK30" t="e">
        <f>AND(OUTPUT!K124,"AAAAAD1erfQ=")</f>
        <v>#VALUE!</v>
      </c>
      <c r="IL30" t="e">
        <f>AND(OUTPUT!#REF!,"AAAAAD1erfU=")</f>
        <v>#REF!</v>
      </c>
      <c r="IM30" t="e">
        <f>AND(OUTPUT!#REF!,"AAAAAD1erfY=")</f>
        <v>#REF!</v>
      </c>
      <c r="IN30" t="e">
        <f>AND(OUTPUT!J125,"AAAAAD1erfc=")</f>
        <v>#VALUE!</v>
      </c>
      <c r="IO30" t="e">
        <f>AND(OUTPUT!K125,"AAAAAD1erfg=")</f>
        <v>#VALUE!</v>
      </c>
      <c r="IP30" t="e">
        <f>AND(OUTPUT!#REF!,"AAAAAD1erfk=")</f>
        <v>#REF!</v>
      </c>
      <c r="IQ30" t="e">
        <f>AND(OUTPUT!#REF!,"AAAAAD1erfo=")</f>
        <v>#REF!</v>
      </c>
      <c r="IR30" t="e">
        <f>AND(OUTPUT!J126,"AAAAAD1erfs=")</f>
        <v>#VALUE!</v>
      </c>
      <c r="IS30" t="e">
        <f>AND(OUTPUT!K126,"AAAAAD1erfw=")</f>
        <v>#VALUE!</v>
      </c>
      <c r="IT30" t="e">
        <f>AND(OUTPUT!#REF!,"AAAAAD1erf0=")</f>
        <v>#REF!</v>
      </c>
      <c r="IU30" t="e">
        <f>AND(OUTPUT!#REF!,"AAAAAD1erf4=")</f>
        <v>#REF!</v>
      </c>
      <c r="IV30" t="e">
        <f>AND(OUTPUT!J127,"AAAAAD1erf8=")</f>
        <v>#VALUE!</v>
      </c>
    </row>
    <row r="31" spans="1:256" x14ac:dyDescent="0.2">
      <c r="A31" t="e">
        <f>AND(OUTPUT!K127,"AAAAAD81fwA=")</f>
        <v>#VALUE!</v>
      </c>
      <c r="B31" t="e">
        <f>AND(OUTPUT!#REF!,"AAAAAD81fwE=")</f>
        <v>#REF!</v>
      </c>
      <c r="C31" t="e">
        <f>AND(OUTPUT!#REF!,"AAAAAD81fwI=")</f>
        <v>#REF!</v>
      </c>
      <c r="D31" t="e">
        <f>AND(OUTPUT!J128,"AAAAAD81fwM=")</f>
        <v>#VALUE!</v>
      </c>
      <c r="E31" t="e">
        <f>AND(OUTPUT!K128,"AAAAAD81fwQ=")</f>
        <v>#VALUE!</v>
      </c>
      <c r="F31" t="e">
        <f>AND(OUTPUT!#REF!,"AAAAAD81fwU=")</f>
        <v>#REF!</v>
      </c>
      <c r="G31" t="e">
        <f>AND(OUTPUT!#REF!,"AAAAAD81fwY=")</f>
        <v>#REF!</v>
      </c>
      <c r="H31" t="e">
        <f>AND(OUTPUT!J129,"AAAAAD81fwc=")</f>
        <v>#VALUE!</v>
      </c>
      <c r="I31" t="e">
        <f>AND(OUTPUT!K129,"AAAAAD81fwg=")</f>
        <v>#VALUE!</v>
      </c>
      <c r="J31" t="e">
        <f>AND(OUTPUT!#REF!,"AAAAAD81fwk=")</f>
        <v>#REF!</v>
      </c>
      <c r="K31" t="e">
        <f>AND(OUTPUT!#REF!,"AAAAAD81fwo=")</f>
        <v>#REF!</v>
      </c>
      <c r="L31" t="e">
        <f>AND(OUTPUT!J130,"AAAAAD81fws=")</f>
        <v>#VALUE!</v>
      </c>
      <c r="M31" t="e">
        <f>AND(OUTPUT!K130,"AAAAAD81fww=")</f>
        <v>#VALUE!</v>
      </c>
      <c r="N31" t="e">
        <f>AND(OUTPUT!#REF!,"AAAAAD81fw0=")</f>
        <v>#REF!</v>
      </c>
      <c r="O31" t="e">
        <f>AND(OUTPUT!#REF!,"AAAAAD81fw4=")</f>
        <v>#REF!</v>
      </c>
      <c r="P31" t="e">
        <f>AND(OUTPUT!J131,"AAAAAD81fw8=")</f>
        <v>#VALUE!</v>
      </c>
      <c r="Q31" t="e">
        <f>AND(OUTPUT!K131,"AAAAAD81fxA=")</f>
        <v>#VALUE!</v>
      </c>
      <c r="R31" t="e">
        <f>AND(OUTPUT!#REF!,"AAAAAD81fxE=")</f>
        <v>#REF!</v>
      </c>
      <c r="S31" t="e">
        <f>AND(OUTPUT!#REF!,"AAAAAD81fxI=")</f>
        <v>#REF!</v>
      </c>
      <c r="T31" t="e">
        <f>AND(OUTPUT!J132,"AAAAAD81fxM=")</f>
        <v>#VALUE!</v>
      </c>
      <c r="U31" t="e">
        <f>AND(OUTPUT!K132,"AAAAAD81fxQ=")</f>
        <v>#VALUE!</v>
      </c>
      <c r="V31" t="e">
        <f>AND(OUTPUT!#REF!,"AAAAAD81fxU=")</f>
        <v>#REF!</v>
      </c>
      <c r="W31" t="e">
        <f>AND(OUTPUT!#REF!,"AAAAAD81fxY=")</f>
        <v>#REF!</v>
      </c>
      <c r="X31" t="e">
        <f>AND(OUTPUT!J133,"AAAAAD81fxc=")</f>
        <v>#VALUE!</v>
      </c>
      <c r="Y31" t="e">
        <f>AND(OUTPUT!K133,"AAAAAD81fxg=")</f>
        <v>#VALUE!</v>
      </c>
      <c r="Z31" t="e">
        <f>AND(OUTPUT!#REF!,"AAAAAD81fxk=")</f>
        <v>#REF!</v>
      </c>
      <c r="AA31" t="e">
        <f>AND(OUTPUT!#REF!,"AAAAAD81fxo=")</f>
        <v>#REF!</v>
      </c>
      <c r="AB31" t="e">
        <f>AND(OUTPUT!J134,"AAAAAD81fxs=")</f>
        <v>#VALUE!</v>
      </c>
      <c r="AC31" t="e">
        <f>AND(OUTPUT!K134,"AAAAAD81fxw=")</f>
        <v>#VALUE!</v>
      </c>
      <c r="AD31" t="e">
        <f>AND(OUTPUT!#REF!,"AAAAAD81fx0=")</f>
        <v>#REF!</v>
      </c>
      <c r="AE31" t="e">
        <f>AND(OUTPUT!#REF!,"AAAAAD81fx4=")</f>
        <v>#REF!</v>
      </c>
      <c r="AF31" t="e">
        <f>AND(OUTPUT!J135,"AAAAAD81fx8=")</f>
        <v>#VALUE!</v>
      </c>
      <c r="AG31" t="e">
        <f>AND(OUTPUT!K135,"AAAAAD81fyA=")</f>
        <v>#VALUE!</v>
      </c>
      <c r="AH31" t="e">
        <f>AND(OUTPUT!#REF!,"AAAAAD81fyE=")</f>
        <v>#REF!</v>
      </c>
      <c r="AI31" t="e">
        <f>AND(OUTPUT!#REF!,"AAAAAD81fyI=")</f>
        <v>#REF!</v>
      </c>
      <c r="AJ31" t="e">
        <f>AND(OUTPUT!J136,"AAAAAD81fyM=")</f>
        <v>#VALUE!</v>
      </c>
      <c r="AK31" t="e">
        <f>AND(OUTPUT!K136,"AAAAAD81fyQ=")</f>
        <v>#VALUE!</v>
      </c>
      <c r="AL31" t="e">
        <f>AND(OUTPUT!#REF!,"AAAAAD81fyU=")</f>
        <v>#REF!</v>
      </c>
      <c r="AM31" t="e">
        <f>AND(OUTPUT!#REF!,"AAAAAD81fyY=")</f>
        <v>#REF!</v>
      </c>
      <c r="AN31" t="e">
        <f>AND(OUTPUT!J137,"AAAAAD81fyc=")</f>
        <v>#VALUE!</v>
      </c>
      <c r="AO31" t="e">
        <f>AND(OUTPUT!K137,"AAAAAD81fyg=")</f>
        <v>#VALUE!</v>
      </c>
      <c r="AP31" t="e">
        <f>AND(OUTPUT!#REF!,"AAAAAD81fyk=")</f>
        <v>#REF!</v>
      </c>
      <c r="AQ31" t="e">
        <f>AND(OUTPUT!#REF!,"AAAAAD81fyo=")</f>
        <v>#REF!</v>
      </c>
      <c r="AR31" t="e">
        <f>AND(OUTPUT!J138,"AAAAAD81fys=")</f>
        <v>#VALUE!</v>
      </c>
      <c r="AS31" t="e">
        <f>AND(OUTPUT!K138,"AAAAAD81fyw=")</f>
        <v>#VALUE!</v>
      </c>
      <c r="AT31" t="e">
        <f>AND(OUTPUT!#REF!,"AAAAAD81fy0=")</f>
        <v>#REF!</v>
      </c>
      <c r="AU31" t="e">
        <f>AND(OUTPUT!#REF!,"AAAAAD81fy4=")</f>
        <v>#REF!</v>
      </c>
      <c r="AV31" t="e">
        <f>AND(OUTPUT!J139,"AAAAAD81fy8=")</f>
        <v>#VALUE!</v>
      </c>
      <c r="AW31" t="e">
        <f>AND(OUTPUT!K139,"AAAAAD81fzA=")</f>
        <v>#VALUE!</v>
      </c>
      <c r="AX31" t="e">
        <f>AND(OUTPUT!#REF!,"AAAAAD81fzE=")</f>
        <v>#REF!</v>
      </c>
      <c r="AY31" t="e">
        <f>AND(OUTPUT!#REF!,"AAAAAD81fzI=")</f>
        <v>#REF!</v>
      </c>
      <c r="AZ31" t="e">
        <f>AND(OUTPUT!J140,"AAAAAD81fzM=")</f>
        <v>#VALUE!</v>
      </c>
      <c r="BA31" t="e">
        <f>AND(OUTPUT!K140,"AAAAAD81fzQ=")</f>
        <v>#VALUE!</v>
      </c>
      <c r="BB31" t="e">
        <f>AND(OUTPUT!#REF!,"AAAAAD81fzU=")</f>
        <v>#REF!</v>
      </c>
      <c r="BC31" t="e">
        <f>AND(OUTPUT!#REF!,"AAAAAD81fzY=")</f>
        <v>#REF!</v>
      </c>
      <c r="BD31" t="e">
        <f>AND(OUTPUT!J141,"AAAAAD81fzc=")</f>
        <v>#VALUE!</v>
      </c>
      <c r="BE31" t="e">
        <f>AND(OUTPUT!K141,"AAAAAD81fzg=")</f>
        <v>#VALUE!</v>
      </c>
      <c r="BF31" t="e">
        <f>AND(OUTPUT!#REF!,"AAAAAD81fzk=")</f>
        <v>#REF!</v>
      </c>
      <c r="BG31" t="e">
        <f>AND(OUTPUT!#REF!,"AAAAAD81fzo=")</f>
        <v>#REF!</v>
      </c>
      <c r="BH31" t="e">
        <f>AND(OUTPUT!J142,"AAAAAD81fzs=")</f>
        <v>#VALUE!</v>
      </c>
      <c r="BI31" t="e">
        <f>AND(OUTPUT!K142,"AAAAAD81fzw=")</f>
        <v>#VALUE!</v>
      </c>
      <c r="BJ31" t="e">
        <f>AND(OUTPUT!#REF!,"AAAAAD81fz0=")</f>
        <v>#REF!</v>
      </c>
      <c r="BK31" t="e">
        <f>AND(OUTPUT!#REF!,"AAAAAD81fz4=")</f>
        <v>#REF!</v>
      </c>
      <c r="BL31" t="e">
        <f>AND(OUTPUT!J144,"AAAAAD81fz8=")</f>
        <v>#VALUE!</v>
      </c>
      <c r="BM31" t="e">
        <f>AND(OUTPUT!K144,"AAAAAD81f0A=")</f>
        <v>#VALUE!</v>
      </c>
      <c r="BN31" t="e">
        <f>AND(OUTPUT!#REF!,"AAAAAD81f0E=")</f>
        <v>#REF!</v>
      </c>
      <c r="BO31" t="e">
        <f>AND(OUTPUT!#REF!,"AAAAAD81f0I=")</f>
        <v>#REF!</v>
      </c>
      <c r="BP31" t="e">
        <f>AND(OUTPUT!J145,"AAAAAD81f0M=")</f>
        <v>#VALUE!</v>
      </c>
      <c r="BQ31" t="e">
        <f>AND(OUTPUT!K145,"AAAAAD81f0Q=")</f>
        <v>#VALUE!</v>
      </c>
      <c r="BR31" t="e">
        <f>AND(OUTPUT!#REF!,"AAAAAD81f0U=")</f>
        <v>#REF!</v>
      </c>
      <c r="BS31" t="e">
        <f>AND(OUTPUT!#REF!,"AAAAAD81f0Y=")</f>
        <v>#REF!</v>
      </c>
      <c r="BT31" t="e">
        <f>AND(OUTPUT!#REF!,"AAAAAD81f0c=")</f>
        <v>#REF!</v>
      </c>
      <c r="BU31" t="e">
        <f>AND(OUTPUT!#REF!,"AAAAAD81f0g=")</f>
        <v>#REF!</v>
      </c>
      <c r="BV31" t="e">
        <f>AND(OUTPUT!#REF!,"AAAAAD81f0k=")</f>
        <v>#REF!</v>
      </c>
      <c r="BW31" t="e">
        <f>AND(OUTPUT!#REF!,"AAAAAD81f0o=")</f>
        <v>#REF!</v>
      </c>
      <c r="BX31" t="e">
        <f>AND(OUTPUT!J146,"AAAAAD81f0s=")</f>
        <v>#VALUE!</v>
      </c>
      <c r="BY31" t="e">
        <f>AND(OUTPUT!K146,"AAAAAD81f0w=")</f>
        <v>#VALUE!</v>
      </c>
      <c r="BZ31" t="e">
        <f>AND(OUTPUT!#REF!,"AAAAAD81f00=")</f>
        <v>#REF!</v>
      </c>
      <c r="CA31" t="e">
        <f>AND(OUTPUT!#REF!,"AAAAAD81f04=")</f>
        <v>#REF!</v>
      </c>
      <c r="CB31" t="e">
        <f>AND(OUTPUT!J147,"AAAAAD81f08=")</f>
        <v>#VALUE!</v>
      </c>
      <c r="CC31" t="e">
        <f>AND(OUTPUT!K147,"AAAAAD81f1A=")</f>
        <v>#VALUE!</v>
      </c>
      <c r="CD31" t="e">
        <f>AND(OUTPUT!#REF!,"AAAAAD81f1E=")</f>
        <v>#REF!</v>
      </c>
      <c r="CE31" t="e">
        <f>AND(OUTPUT!#REF!,"AAAAAD81f1I=")</f>
        <v>#REF!</v>
      </c>
      <c r="CF31" t="e">
        <f>AND(OUTPUT!J148,"AAAAAD81f1M=")</f>
        <v>#VALUE!</v>
      </c>
      <c r="CG31" t="e">
        <f>AND(OUTPUT!K148,"AAAAAD81f1Q=")</f>
        <v>#VALUE!</v>
      </c>
      <c r="CH31" t="e">
        <f>AND(OUTPUT!#REF!,"AAAAAD81f1U=")</f>
        <v>#REF!</v>
      </c>
      <c r="CI31" t="e">
        <f>AND(OUTPUT!#REF!,"AAAAAD81f1Y=")</f>
        <v>#REF!</v>
      </c>
      <c r="CJ31" t="e">
        <f>AND(OUTPUT!J149,"AAAAAD81f1c=")</f>
        <v>#VALUE!</v>
      </c>
      <c r="CK31" t="e">
        <f>AND(OUTPUT!K149,"AAAAAD81f1g=")</f>
        <v>#VALUE!</v>
      </c>
      <c r="CL31" t="e">
        <f>AND(OUTPUT!#REF!,"AAAAAD81f1k=")</f>
        <v>#REF!</v>
      </c>
      <c r="CM31" t="e">
        <f>AND(OUTPUT!#REF!,"AAAAAD81f1o=")</f>
        <v>#REF!</v>
      </c>
      <c r="CN31" t="e">
        <f>AND(OUTPUT!J150,"AAAAAD81f1s=")</f>
        <v>#VALUE!</v>
      </c>
      <c r="CO31" t="e">
        <f>AND(OUTPUT!K150,"AAAAAD81f1w=")</f>
        <v>#VALUE!</v>
      </c>
      <c r="CP31" t="e">
        <f>AND(OUTPUT!#REF!,"AAAAAD81f10=")</f>
        <v>#REF!</v>
      </c>
      <c r="CQ31" t="e">
        <f>AND(OUTPUT!#REF!,"AAAAAD81f14=")</f>
        <v>#REF!</v>
      </c>
      <c r="CR31" t="e">
        <f>AND(OUTPUT!J151,"AAAAAD81f18=")</f>
        <v>#VALUE!</v>
      </c>
      <c r="CS31" t="e">
        <f>AND(OUTPUT!K151,"AAAAAD81f2A=")</f>
        <v>#VALUE!</v>
      </c>
      <c r="CT31" t="e">
        <f>AND(OUTPUT!#REF!,"AAAAAD81f2E=")</f>
        <v>#REF!</v>
      </c>
      <c r="CU31" t="e">
        <f>AND(OUTPUT!#REF!,"AAAAAD81f2I=")</f>
        <v>#REF!</v>
      </c>
      <c r="CV31" t="e">
        <f>AND(OUTPUT!J152,"AAAAAD81f2M=")</f>
        <v>#VALUE!</v>
      </c>
      <c r="CW31" t="e">
        <f>AND(OUTPUT!K152,"AAAAAD81f2Q=")</f>
        <v>#VALUE!</v>
      </c>
      <c r="CX31" t="e">
        <f>AND(OUTPUT!#REF!,"AAAAAD81f2U=")</f>
        <v>#REF!</v>
      </c>
      <c r="CY31" t="e">
        <f>AND(OUTPUT!#REF!,"AAAAAD81f2Y=")</f>
        <v>#REF!</v>
      </c>
      <c r="CZ31" t="e">
        <f>AND(OUTPUT!J153,"AAAAAD81f2c=")</f>
        <v>#VALUE!</v>
      </c>
      <c r="DA31" t="e">
        <f>AND(OUTPUT!K153,"AAAAAD81f2g=")</f>
        <v>#VALUE!</v>
      </c>
      <c r="DB31" t="e">
        <f>AND(OUTPUT!#REF!,"AAAAAD81f2k=")</f>
        <v>#REF!</v>
      </c>
      <c r="DC31" t="e">
        <f>AND(OUTPUT!#REF!,"AAAAAD81f2o=")</f>
        <v>#REF!</v>
      </c>
      <c r="DD31" t="e">
        <f>AND(OUTPUT!J154,"AAAAAD81f2s=")</f>
        <v>#VALUE!</v>
      </c>
      <c r="DE31" t="e">
        <f>AND(OUTPUT!K154,"AAAAAD81f2w=")</f>
        <v>#VALUE!</v>
      </c>
      <c r="DF31" t="e">
        <f>AND(OUTPUT!#REF!,"AAAAAD81f20=")</f>
        <v>#REF!</v>
      </c>
      <c r="DG31" t="e">
        <f>AND(OUTPUT!#REF!,"AAAAAD81f24=")</f>
        <v>#REF!</v>
      </c>
      <c r="DH31" t="e">
        <f>AND(OUTPUT!J155,"AAAAAD81f28=")</f>
        <v>#VALUE!</v>
      </c>
      <c r="DI31" t="e">
        <f>AND(OUTPUT!K155,"AAAAAD81f3A=")</f>
        <v>#VALUE!</v>
      </c>
      <c r="DJ31" t="e">
        <f>AND(OUTPUT!#REF!,"AAAAAD81f3E=")</f>
        <v>#REF!</v>
      </c>
      <c r="DK31" t="e">
        <f>AND(OUTPUT!#REF!,"AAAAAD81f3I=")</f>
        <v>#REF!</v>
      </c>
      <c r="DL31" t="e">
        <f>AND(OUTPUT!J156,"AAAAAD81f3M=")</f>
        <v>#VALUE!</v>
      </c>
      <c r="DM31" t="e">
        <f>AND(OUTPUT!K156,"AAAAAD81f3Q=")</f>
        <v>#VALUE!</v>
      </c>
      <c r="DN31" t="e">
        <f>AND(OUTPUT!#REF!,"AAAAAD81f3U=")</f>
        <v>#REF!</v>
      </c>
      <c r="DO31" t="e">
        <f>AND(OUTPUT!#REF!,"AAAAAD81f3Y=")</f>
        <v>#REF!</v>
      </c>
      <c r="DP31" t="e">
        <f>AND(OUTPUT!J157,"AAAAAD81f3c=")</f>
        <v>#VALUE!</v>
      </c>
      <c r="DQ31" t="e">
        <f>AND(OUTPUT!K157,"AAAAAD81f3g=")</f>
        <v>#VALUE!</v>
      </c>
      <c r="DR31" t="e">
        <f>AND(OUTPUT!#REF!,"AAAAAD81f3k=")</f>
        <v>#REF!</v>
      </c>
      <c r="DS31" t="e">
        <f>AND(OUTPUT!#REF!,"AAAAAD81f3o=")</f>
        <v>#REF!</v>
      </c>
      <c r="DT31" t="e">
        <f>AND(OUTPUT!J158,"AAAAAD81f3s=")</f>
        <v>#VALUE!</v>
      </c>
      <c r="DU31" t="e">
        <f>AND(OUTPUT!K158,"AAAAAD81f3w=")</f>
        <v>#VALUE!</v>
      </c>
      <c r="DV31" t="e">
        <f>AND(OUTPUT!#REF!,"AAAAAD81f30=")</f>
        <v>#REF!</v>
      </c>
      <c r="DW31" t="e">
        <f>AND(OUTPUT!#REF!,"AAAAAD81f34=")</f>
        <v>#REF!</v>
      </c>
      <c r="DX31" t="e">
        <f>AND(OUTPUT!J159,"AAAAAD81f38=")</f>
        <v>#VALUE!</v>
      </c>
      <c r="DY31" t="e">
        <f>AND(OUTPUT!K159,"AAAAAD81f4A=")</f>
        <v>#VALUE!</v>
      </c>
      <c r="DZ31" t="e">
        <f>AND(OUTPUT!#REF!,"AAAAAD81f4E=")</f>
        <v>#REF!</v>
      </c>
      <c r="EA31" t="e">
        <f>AND(OUTPUT!#REF!,"AAAAAD81f4I=")</f>
        <v>#REF!</v>
      </c>
      <c r="EB31" t="e">
        <f>AND(OUTPUT!J160,"AAAAAD81f4M=")</f>
        <v>#VALUE!</v>
      </c>
      <c r="EC31" t="e">
        <f>AND(OUTPUT!K160,"AAAAAD81f4Q=")</f>
        <v>#VALUE!</v>
      </c>
      <c r="ED31" t="e">
        <f>AND(OUTPUT!#REF!,"AAAAAD81f4U=")</f>
        <v>#REF!</v>
      </c>
      <c r="EE31" t="e">
        <f>AND(OUTPUT!#REF!,"AAAAAD81f4Y=")</f>
        <v>#REF!</v>
      </c>
      <c r="EF31" t="e">
        <f>AND(OUTPUT!J161,"AAAAAD81f4c=")</f>
        <v>#VALUE!</v>
      </c>
      <c r="EG31" t="e">
        <f>AND(OUTPUT!K161,"AAAAAD81f4g=")</f>
        <v>#VALUE!</v>
      </c>
      <c r="EH31" t="e">
        <f>AND(OUTPUT!#REF!,"AAAAAD81f4k=")</f>
        <v>#REF!</v>
      </c>
      <c r="EI31" t="e">
        <f>AND(OUTPUT!#REF!,"AAAAAD81f4o=")</f>
        <v>#REF!</v>
      </c>
      <c r="EJ31" t="e">
        <f>AND(OUTPUT!J162,"AAAAAD81f4s=")</f>
        <v>#VALUE!</v>
      </c>
      <c r="EK31" t="e">
        <f>AND(OUTPUT!K162,"AAAAAD81f4w=")</f>
        <v>#VALUE!</v>
      </c>
      <c r="EL31" t="e">
        <f>AND(OUTPUT!#REF!,"AAAAAD81f40=")</f>
        <v>#REF!</v>
      </c>
      <c r="EM31" t="e">
        <f>AND(OUTPUT!#REF!,"AAAAAD81f44=")</f>
        <v>#REF!</v>
      </c>
      <c r="EN31" t="e">
        <f>AND(OUTPUT!J163,"AAAAAD81f48=")</f>
        <v>#VALUE!</v>
      </c>
      <c r="EO31" t="e">
        <f>AND(OUTPUT!K163,"AAAAAD81f5A=")</f>
        <v>#VALUE!</v>
      </c>
      <c r="EP31" t="e">
        <f>AND(OUTPUT!#REF!,"AAAAAD81f5E=")</f>
        <v>#REF!</v>
      </c>
      <c r="EQ31" t="e">
        <f>AND(OUTPUT!#REF!,"AAAAAD81f5I=")</f>
        <v>#REF!</v>
      </c>
      <c r="ER31" t="e">
        <f>AND(OUTPUT!J164,"AAAAAD81f5M=")</f>
        <v>#VALUE!</v>
      </c>
      <c r="ES31" t="e">
        <f>AND(OUTPUT!K164,"AAAAAD81f5Q=")</f>
        <v>#VALUE!</v>
      </c>
      <c r="ET31" t="e">
        <f>AND(OUTPUT!#REF!,"AAAAAD81f5U=")</f>
        <v>#REF!</v>
      </c>
      <c r="EU31" t="e">
        <f>AND(OUTPUT!#REF!,"AAAAAD81f5Y=")</f>
        <v>#REF!</v>
      </c>
      <c r="EV31" t="e">
        <f>AND(OUTPUT!J165,"AAAAAD81f5c=")</f>
        <v>#VALUE!</v>
      </c>
      <c r="EW31" t="e">
        <f>AND(OUTPUT!K165,"AAAAAD81f5g=")</f>
        <v>#VALUE!</v>
      </c>
      <c r="EX31" t="e">
        <f>AND(OUTPUT!#REF!,"AAAAAD81f5k=")</f>
        <v>#REF!</v>
      </c>
      <c r="EY31" t="e">
        <f>AND(OUTPUT!#REF!,"AAAAAD81f5o=")</f>
        <v>#REF!</v>
      </c>
      <c r="EZ31" t="e">
        <f>AND(OUTPUT!J166,"AAAAAD81f5s=")</f>
        <v>#VALUE!</v>
      </c>
      <c r="FA31" t="e">
        <f>AND(OUTPUT!K166,"AAAAAD81f5w=")</f>
        <v>#VALUE!</v>
      </c>
      <c r="FB31" t="e">
        <f>AND(OUTPUT!#REF!,"AAAAAD81f50=")</f>
        <v>#REF!</v>
      </c>
      <c r="FC31" t="e">
        <f>AND(OUTPUT!#REF!,"AAAAAD81f54=")</f>
        <v>#REF!</v>
      </c>
      <c r="FD31" t="e">
        <f>AND(OUTPUT!J168,"AAAAAD81f58=")</f>
        <v>#VALUE!</v>
      </c>
      <c r="FE31" t="e">
        <f>AND(OUTPUT!K168,"AAAAAD81f6A=")</f>
        <v>#VALUE!</v>
      </c>
      <c r="FF31" t="e">
        <f>AND(OUTPUT!#REF!,"AAAAAD81f6E=")</f>
        <v>#REF!</v>
      </c>
      <c r="FG31" t="e">
        <f>AND(OUTPUT!#REF!,"AAAAAD81f6I=")</f>
        <v>#REF!</v>
      </c>
      <c r="FH31" t="e">
        <f>AND(OUTPUT!J169,"AAAAAD81f6M=")</f>
        <v>#VALUE!</v>
      </c>
      <c r="FI31" t="e">
        <f>AND(OUTPUT!K169,"AAAAAD81f6Q=")</f>
        <v>#VALUE!</v>
      </c>
      <c r="FJ31" t="e">
        <f>AND(OUTPUT!#REF!,"AAAAAD81f6U=")</f>
        <v>#REF!</v>
      </c>
      <c r="FK31" t="e">
        <f>AND(OUTPUT!#REF!,"AAAAAD81f6Y=")</f>
        <v>#REF!</v>
      </c>
      <c r="FL31" t="e">
        <f>AND(OUTPUT!J170,"AAAAAD81f6c=")</f>
        <v>#VALUE!</v>
      </c>
      <c r="FM31" t="e">
        <f>AND(OUTPUT!K170,"AAAAAD81f6g=")</f>
        <v>#VALUE!</v>
      </c>
      <c r="FN31" t="e">
        <f>AND(OUTPUT!#REF!,"AAAAAD81f6k=")</f>
        <v>#REF!</v>
      </c>
      <c r="FO31" t="e">
        <f>AND(OUTPUT!#REF!,"AAAAAD81f6o=")</f>
        <v>#REF!</v>
      </c>
      <c r="FP31" t="e">
        <f>AND(OUTPUT!J171,"AAAAAD81f6s=")</f>
        <v>#VALUE!</v>
      </c>
      <c r="FQ31" t="e">
        <f>AND(OUTPUT!K171,"AAAAAD81f6w=")</f>
        <v>#VALUE!</v>
      </c>
      <c r="FR31" t="e">
        <f>AND(OUTPUT!#REF!,"AAAAAD81f60=")</f>
        <v>#REF!</v>
      </c>
      <c r="FS31" t="e">
        <f>AND(OUTPUT!#REF!,"AAAAAD81f64=")</f>
        <v>#REF!</v>
      </c>
      <c r="FT31" t="e">
        <f>AND(OUTPUT!J172,"AAAAAD81f68=")</f>
        <v>#VALUE!</v>
      </c>
      <c r="FU31" t="e">
        <f>AND(OUTPUT!K172,"AAAAAD81f7A=")</f>
        <v>#VALUE!</v>
      </c>
      <c r="FV31" t="e">
        <f>AND(OUTPUT!#REF!,"AAAAAD81f7E=")</f>
        <v>#REF!</v>
      </c>
      <c r="FW31" t="e">
        <f>AND(OUTPUT!#REF!,"AAAAAD81f7I=")</f>
        <v>#REF!</v>
      </c>
      <c r="FX31" t="e">
        <f>AND(OUTPUT!J174,"AAAAAD81f7M=")</f>
        <v>#VALUE!</v>
      </c>
      <c r="FY31" t="e">
        <f>AND(OUTPUT!K174,"AAAAAD81f7Q=")</f>
        <v>#VALUE!</v>
      </c>
      <c r="FZ31" t="e">
        <f>AND(OUTPUT!#REF!,"AAAAAD81f7U=")</f>
        <v>#REF!</v>
      </c>
      <c r="GA31" t="e">
        <f>AND(OUTPUT!#REF!,"AAAAAD81f7Y=")</f>
        <v>#REF!</v>
      </c>
      <c r="GB31" t="e">
        <f>AND(OUTPUT!J175,"AAAAAD81f7c=")</f>
        <v>#VALUE!</v>
      </c>
      <c r="GC31" t="e">
        <f>AND(OUTPUT!K175,"AAAAAD81f7g=")</f>
        <v>#VALUE!</v>
      </c>
      <c r="GD31" t="e">
        <f>AND(OUTPUT!#REF!,"AAAAAD81f7k=")</f>
        <v>#REF!</v>
      </c>
      <c r="GE31" t="e">
        <f>AND(OUTPUT!#REF!,"AAAAAD81f7o=")</f>
        <v>#REF!</v>
      </c>
      <c r="GF31" t="e">
        <f>AND(OUTPUT!J176,"AAAAAD81f7s=")</f>
        <v>#VALUE!</v>
      </c>
      <c r="GG31" t="e">
        <f>AND(OUTPUT!K176,"AAAAAD81f7w=")</f>
        <v>#VALUE!</v>
      </c>
      <c r="GH31" t="e">
        <f>AND(OUTPUT!#REF!,"AAAAAD81f70=")</f>
        <v>#REF!</v>
      </c>
      <c r="GI31" t="e">
        <f>AND(OUTPUT!#REF!,"AAAAAD81f74=")</f>
        <v>#REF!</v>
      </c>
      <c r="GJ31" t="e">
        <f>AND(OUTPUT!J177,"AAAAAD81f78=")</f>
        <v>#VALUE!</v>
      </c>
      <c r="GK31" t="e">
        <f>AND(OUTPUT!K177,"AAAAAD81f8A=")</f>
        <v>#VALUE!</v>
      </c>
      <c r="GL31" t="e">
        <f>AND(OUTPUT!#REF!,"AAAAAD81f8E=")</f>
        <v>#REF!</v>
      </c>
      <c r="GM31" t="e">
        <f>AND(OUTPUT!#REF!,"AAAAAD81f8I=")</f>
        <v>#REF!</v>
      </c>
      <c r="GN31" t="e">
        <f>AND(OUTPUT!J178,"AAAAAD81f8M=")</f>
        <v>#VALUE!</v>
      </c>
      <c r="GO31" t="e">
        <f>AND(OUTPUT!K178,"AAAAAD81f8Q=")</f>
        <v>#VALUE!</v>
      </c>
      <c r="GP31" t="e">
        <f>AND(OUTPUT!#REF!,"AAAAAD81f8U=")</f>
        <v>#REF!</v>
      </c>
      <c r="GQ31" t="e">
        <f>AND(OUTPUT!#REF!,"AAAAAD81f8Y=")</f>
        <v>#REF!</v>
      </c>
      <c r="GR31" t="e">
        <f>AND(OUTPUT!J179,"AAAAAD81f8c=")</f>
        <v>#VALUE!</v>
      </c>
      <c r="GS31" t="e">
        <f>AND(OUTPUT!K179,"AAAAAD81f8g=")</f>
        <v>#VALUE!</v>
      </c>
      <c r="GT31" t="e">
        <f>AND(OUTPUT!#REF!,"AAAAAD81f8k=")</f>
        <v>#REF!</v>
      </c>
      <c r="GU31" t="e">
        <f>AND(OUTPUT!#REF!,"AAAAAD81f8o=")</f>
        <v>#REF!</v>
      </c>
      <c r="GV31" t="e">
        <f>AND(OUTPUT!J180,"AAAAAD81f8s=")</f>
        <v>#VALUE!</v>
      </c>
      <c r="GW31" t="e">
        <f>AND(OUTPUT!K180,"AAAAAD81f8w=")</f>
        <v>#VALUE!</v>
      </c>
      <c r="GX31" t="e">
        <f>AND(OUTPUT!#REF!,"AAAAAD81f80=")</f>
        <v>#REF!</v>
      </c>
      <c r="GY31" t="e">
        <f>AND(OUTPUT!#REF!,"AAAAAD81f84=")</f>
        <v>#REF!</v>
      </c>
      <c r="GZ31" t="e">
        <f>AND(OUTPUT!J181,"AAAAAD81f88=")</f>
        <v>#VALUE!</v>
      </c>
      <c r="HA31" t="e">
        <f>AND(OUTPUT!K181,"AAAAAD81f9A=")</f>
        <v>#VALUE!</v>
      </c>
      <c r="HB31" t="e">
        <f>AND(OUTPUT!#REF!,"AAAAAD81f9E=")</f>
        <v>#REF!</v>
      </c>
      <c r="HC31" t="e">
        <f>AND(OUTPUT!#REF!,"AAAAAD81f9I=")</f>
        <v>#REF!</v>
      </c>
      <c r="HD31" t="e">
        <f>AND(OUTPUT!J182,"AAAAAD81f9M=")</f>
        <v>#VALUE!</v>
      </c>
      <c r="HE31" t="e">
        <f>AND(OUTPUT!K182,"AAAAAD81f9Q=")</f>
        <v>#VALUE!</v>
      </c>
      <c r="HF31" t="e">
        <f>AND(OUTPUT!#REF!,"AAAAAD81f9U=")</f>
        <v>#REF!</v>
      </c>
      <c r="HG31" t="e">
        <f>AND(OUTPUT!#REF!,"AAAAAD81f9Y=")</f>
        <v>#REF!</v>
      </c>
      <c r="HH31" t="e">
        <f>AND(OUTPUT!J183,"AAAAAD81f9c=")</f>
        <v>#VALUE!</v>
      </c>
      <c r="HI31" t="e">
        <f>AND(OUTPUT!K183,"AAAAAD81f9g=")</f>
        <v>#VALUE!</v>
      </c>
      <c r="HJ31" t="e">
        <f>AND(OUTPUT!#REF!,"AAAAAD81f9k=")</f>
        <v>#REF!</v>
      </c>
      <c r="HK31" t="e">
        <f>AND(OUTPUT!#REF!,"AAAAAD81f9o=")</f>
        <v>#REF!</v>
      </c>
      <c r="HL31" t="e">
        <f>AND(OUTPUT!J184,"AAAAAD81f9s=")</f>
        <v>#VALUE!</v>
      </c>
      <c r="HM31" t="e">
        <f>AND(OUTPUT!K184,"AAAAAD81f9w=")</f>
        <v>#VALUE!</v>
      </c>
      <c r="HN31" t="e">
        <f>AND(OUTPUT!#REF!,"AAAAAD81f90=")</f>
        <v>#REF!</v>
      </c>
      <c r="HO31" t="e">
        <f>AND(OUTPUT!#REF!,"AAAAAD81f94=")</f>
        <v>#REF!</v>
      </c>
      <c r="HP31" t="e">
        <f>AND(OUTPUT!J185,"AAAAAD81f98=")</f>
        <v>#VALUE!</v>
      </c>
      <c r="HQ31" t="e">
        <f>AND(OUTPUT!K185,"AAAAAD81f+A=")</f>
        <v>#VALUE!</v>
      </c>
      <c r="HR31" t="e">
        <f>AND(OUTPUT!#REF!,"AAAAAD81f+E=")</f>
        <v>#REF!</v>
      </c>
      <c r="HS31" t="e">
        <f>AND(OUTPUT!#REF!,"AAAAAD81f+I=")</f>
        <v>#REF!</v>
      </c>
      <c r="HT31" t="e">
        <f>AND(OUTPUT!J186,"AAAAAD81f+M=")</f>
        <v>#VALUE!</v>
      </c>
      <c r="HU31" t="e">
        <f>AND(OUTPUT!K186,"AAAAAD81f+Q=")</f>
        <v>#VALUE!</v>
      </c>
      <c r="HV31" t="e">
        <f>AND(OUTPUT!#REF!,"AAAAAD81f+U=")</f>
        <v>#REF!</v>
      </c>
      <c r="HW31" t="e">
        <f>AND(OUTPUT!#REF!,"AAAAAD81f+Y=")</f>
        <v>#REF!</v>
      </c>
      <c r="HX31" t="e">
        <f>AND(OUTPUT!J187,"AAAAAD81f+c=")</f>
        <v>#VALUE!</v>
      </c>
      <c r="HY31" t="e">
        <f>AND(OUTPUT!K187,"AAAAAD81f+g=")</f>
        <v>#VALUE!</v>
      </c>
      <c r="HZ31" t="e">
        <f>AND(OUTPUT!#REF!,"AAAAAD81f+k=")</f>
        <v>#REF!</v>
      </c>
      <c r="IA31" t="e">
        <f>AND(OUTPUT!#REF!,"AAAAAD81f+o=")</f>
        <v>#REF!</v>
      </c>
      <c r="IB31" t="e">
        <f>AND(OUTPUT!J188,"AAAAAD81f+s=")</f>
        <v>#VALUE!</v>
      </c>
      <c r="IC31" t="e">
        <f>AND(OUTPUT!K188,"AAAAAD81f+w=")</f>
        <v>#VALUE!</v>
      </c>
      <c r="ID31" t="e">
        <f>AND(OUTPUT!#REF!,"AAAAAD81f+0=")</f>
        <v>#REF!</v>
      </c>
      <c r="IE31" t="e">
        <f>AND(OUTPUT!#REF!,"AAAAAD81f+4=")</f>
        <v>#REF!</v>
      </c>
      <c r="IF31" t="e">
        <f>AND(OUTPUT!J189,"AAAAAD81f+8=")</f>
        <v>#VALUE!</v>
      </c>
      <c r="IG31" t="e">
        <f>AND(OUTPUT!K189,"AAAAAD81f/A=")</f>
        <v>#VALUE!</v>
      </c>
      <c r="IH31" t="e">
        <f>AND(OUTPUT!#REF!,"AAAAAD81f/E=")</f>
        <v>#REF!</v>
      </c>
      <c r="II31" t="e">
        <f>AND(OUTPUT!#REF!,"AAAAAD81f/I=")</f>
        <v>#REF!</v>
      </c>
      <c r="IJ31" t="e">
        <f>AND(OUTPUT!J191,"AAAAAD81f/M=")</f>
        <v>#VALUE!</v>
      </c>
      <c r="IK31" t="e">
        <f>AND(OUTPUT!K191,"AAAAAD81f/Q=")</f>
        <v>#VALUE!</v>
      </c>
      <c r="IL31" t="e">
        <f>AND(OUTPUT!#REF!,"AAAAAD81f/U=")</f>
        <v>#REF!</v>
      </c>
      <c r="IM31" t="e">
        <f>AND(OUTPUT!#REF!,"AAAAAD81f/Y=")</f>
        <v>#REF!</v>
      </c>
      <c r="IN31" t="e">
        <f>AND(OUTPUT!J192,"AAAAAD81f/c=")</f>
        <v>#VALUE!</v>
      </c>
      <c r="IO31" t="e">
        <f>AND(OUTPUT!K192,"AAAAAD81f/g=")</f>
        <v>#VALUE!</v>
      </c>
      <c r="IP31" t="e">
        <f>AND(OUTPUT!#REF!,"AAAAAD81f/k=")</f>
        <v>#REF!</v>
      </c>
      <c r="IQ31" t="e">
        <f>AND(OUTPUT!#REF!,"AAAAAD81f/o=")</f>
        <v>#REF!</v>
      </c>
      <c r="IR31" t="e">
        <f>AND(OUTPUT!J193,"AAAAAD81f/s=")</f>
        <v>#VALUE!</v>
      </c>
      <c r="IS31" t="e">
        <f>AND(OUTPUT!K193,"AAAAAD81f/w=")</f>
        <v>#VALUE!</v>
      </c>
      <c r="IT31" t="e">
        <f>AND(OUTPUT!#REF!,"AAAAAD81f/0=")</f>
        <v>#REF!</v>
      </c>
      <c r="IU31" t="e">
        <f>AND(OUTPUT!#REF!,"AAAAAD81f/4=")</f>
        <v>#REF!</v>
      </c>
      <c r="IV31" t="e">
        <f>AND(OUTPUT!J194,"AAAAAD81f/8=")</f>
        <v>#VALUE!</v>
      </c>
    </row>
    <row r="32" spans="1:256" x14ac:dyDescent="0.2">
      <c r="A32" t="e">
        <f>AND(OUTPUT!K194,"AAAAAF9/+QA=")</f>
        <v>#VALUE!</v>
      </c>
      <c r="B32" t="e">
        <f>AND(OUTPUT!#REF!,"AAAAAF9/+QE=")</f>
        <v>#REF!</v>
      </c>
      <c r="C32" t="e">
        <f>AND(OUTPUT!#REF!,"AAAAAF9/+QI=")</f>
        <v>#REF!</v>
      </c>
      <c r="D32" t="e">
        <f>AND(OUTPUT!J195,"AAAAAF9/+QM=")</f>
        <v>#VALUE!</v>
      </c>
      <c r="E32" t="e">
        <f>AND(OUTPUT!K195,"AAAAAF9/+QQ=")</f>
        <v>#VALUE!</v>
      </c>
      <c r="F32" t="e">
        <f>AND(OUTPUT!#REF!,"AAAAAF9/+QU=")</f>
        <v>#REF!</v>
      </c>
      <c r="G32" t="e">
        <f>AND(OUTPUT!#REF!,"AAAAAF9/+QY=")</f>
        <v>#REF!</v>
      </c>
      <c r="H32" t="e">
        <f>AND(OUTPUT!J196,"AAAAAF9/+Qc=")</f>
        <v>#VALUE!</v>
      </c>
      <c r="I32" t="e">
        <f>AND(OUTPUT!K196,"AAAAAF9/+Qg=")</f>
        <v>#VALUE!</v>
      </c>
      <c r="J32" t="e">
        <f>AND(OUTPUT!#REF!,"AAAAAF9/+Qk=")</f>
        <v>#REF!</v>
      </c>
      <c r="K32" t="e">
        <f>AND(OUTPUT!#REF!,"AAAAAF9/+Qo=")</f>
        <v>#REF!</v>
      </c>
      <c r="L32" t="e">
        <f>AND(OUTPUT!J197,"AAAAAF9/+Qs=")</f>
        <v>#VALUE!</v>
      </c>
      <c r="M32" t="e">
        <f>AND(OUTPUT!K197,"AAAAAF9/+Qw=")</f>
        <v>#VALUE!</v>
      </c>
      <c r="N32" t="e">
        <f>AND(OUTPUT!#REF!,"AAAAAF9/+Q0=")</f>
        <v>#REF!</v>
      </c>
      <c r="O32" t="e">
        <f>AND(OUTPUT!#REF!,"AAAAAF9/+Q4=")</f>
        <v>#REF!</v>
      </c>
      <c r="P32" t="e">
        <f>AND(OUTPUT!J198,"AAAAAF9/+Q8=")</f>
        <v>#VALUE!</v>
      </c>
      <c r="Q32" t="e">
        <f>AND(OUTPUT!K198,"AAAAAF9/+RA=")</f>
        <v>#VALUE!</v>
      </c>
      <c r="R32" t="e">
        <f>AND(OUTPUT!#REF!,"AAAAAF9/+RE=")</f>
        <v>#REF!</v>
      </c>
      <c r="S32" t="e">
        <f>AND(OUTPUT!#REF!,"AAAAAF9/+RI=")</f>
        <v>#REF!</v>
      </c>
      <c r="T32" t="e">
        <f>AND(OUTPUT!J199,"AAAAAF9/+RM=")</f>
        <v>#VALUE!</v>
      </c>
      <c r="U32" t="e">
        <f>AND(OUTPUT!K199,"AAAAAF9/+RQ=")</f>
        <v>#VALUE!</v>
      </c>
      <c r="V32" t="e">
        <f>AND(OUTPUT!#REF!,"AAAAAF9/+RU=")</f>
        <v>#REF!</v>
      </c>
      <c r="W32" t="e">
        <f>AND(OUTPUT!#REF!,"AAAAAF9/+RY=")</f>
        <v>#REF!</v>
      </c>
      <c r="X32" t="e">
        <f>AND(OUTPUT!J200,"AAAAAF9/+Rc=")</f>
        <v>#VALUE!</v>
      </c>
      <c r="Y32" t="e">
        <f>AND(OUTPUT!K200,"AAAAAF9/+Rg=")</f>
        <v>#VALUE!</v>
      </c>
      <c r="Z32" t="e">
        <f>AND(OUTPUT!#REF!,"AAAAAF9/+Rk=")</f>
        <v>#REF!</v>
      </c>
      <c r="AA32" t="e">
        <f>AND(OUTPUT!#REF!,"AAAAAF9/+Ro=")</f>
        <v>#REF!</v>
      </c>
      <c r="AB32" t="e">
        <f>AND(OUTPUT!J201,"AAAAAF9/+Rs=")</f>
        <v>#VALUE!</v>
      </c>
      <c r="AC32" t="e">
        <f>AND(OUTPUT!K201,"AAAAAF9/+Rw=")</f>
        <v>#VALUE!</v>
      </c>
      <c r="AD32" t="e">
        <f>AND(OUTPUT!#REF!,"AAAAAF9/+R0=")</f>
        <v>#REF!</v>
      </c>
      <c r="AE32" t="e">
        <f>AND(OUTPUT!#REF!,"AAAAAF9/+R4=")</f>
        <v>#REF!</v>
      </c>
      <c r="AF32" t="e">
        <f>AND(OUTPUT!J202,"AAAAAF9/+R8=")</f>
        <v>#VALUE!</v>
      </c>
      <c r="AG32" t="e">
        <f>AND(OUTPUT!K202,"AAAAAF9/+SA=")</f>
        <v>#VALUE!</v>
      </c>
      <c r="AH32" t="e">
        <f>AND(OUTPUT!#REF!,"AAAAAF9/+SE=")</f>
        <v>#REF!</v>
      </c>
      <c r="AI32" t="e">
        <f>AND(OUTPUT!#REF!,"AAAAAF9/+SI=")</f>
        <v>#REF!</v>
      </c>
      <c r="AJ32" t="e">
        <f>AND(OUTPUT!J203,"AAAAAF9/+SM=")</f>
        <v>#VALUE!</v>
      </c>
      <c r="AK32" t="e">
        <f>AND(OUTPUT!K203,"AAAAAF9/+SQ=")</f>
        <v>#VALUE!</v>
      </c>
      <c r="AL32" t="e">
        <f>AND(OUTPUT!#REF!,"AAAAAF9/+SU=")</f>
        <v>#REF!</v>
      </c>
      <c r="AM32" t="e">
        <f>AND(OUTPUT!#REF!,"AAAAAF9/+SY=")</f>
        <v>#REF!</v>
      </c>
      <c r="AN32" t="e">
        <f>AND(OUTPUT!J204,"AAAAAF9/+Sc=")</f>
        <v>#VALUE!</v>
      </c>
      <c r="AO32" t="e">
        <f>AND(OUTPUT!K204,"AAAAAF9/+Sg=")</f>
        <v>#VALUE!</v>
      </c>
      <c r="AP32" t="e">
        <f>AND(OUTPUT!#REF!,"AAAAAF9/+Sk=")</f>
        <v>#REF!</v>
      </c>
      <c r="AQ32" t="e">
        <f>AND(OUTPUT!#REF!,"AAAAAF9/+So=")</f>
        <v>#REF!</v>
      </c>
      <c r="AR32" t="e">
        <f>AND(OUTPUT!J205,"AAAAAF9/+Ss=")</f>
        <v>#VALUE!</v>
      </c>
      <c r="AS32" t="e">
        <f>AND(OUTPUT!K205,"AAAAAF9/+Sw=")</f>
        <v>#VALUE!</v>
      </c>
      <c r="AT32" t="e">
        <f>AND(OUTPUT!#REF!,"AAAAAF9/+S0=")</f>
        <v>#REF!</v>
      </c>
      <c r="AU32" t="e">
        <f>AND(OUTPUT!#REF!,"AAAAAF9/+S4=")</f>
        <v>#REF!</v>
      </c>
      <c r="AV32" t="e">
        <f>AND(OUTPUT!J206,"AAAAAF9/+S8=")</f>
        <v>#VALUE!</v>
      </c>
      <c r="AW32" t="e">
        <f>AND(OUTPUT!K206,"AAAAAF9/+TA=")</f>
        <v>#VALUE!</v>
      </c>
      <c r="AX32" t="e">
        <f>AND(OUTPUT!#REF!,"AAAAAF9/+TE=")</f>
        <v>#REF!</v>
      </c>
      <c r="AY32" t="e">
        <f>AND(OUTPUT!#REF!,"AAAAAF9/+TI=")</f>
        <v>#REF!</v>
      </c>
      <c r="AZ32" t="e">
        <f>AND(OUTPUT!J207,"AAAAAF9/+TM=")</f>
        <v>#VALUE!</v>
      </c>
      <c r="BA32" t="e">
        <f>AND(OUTPUT!K207,"AAAAAF9/+TQ=")</f>
        <v>#VALUE!</v>
      </c>
      <c r="BB32" t="e">
        <f>AND(OUTPUT!#REF!,"AAAAAF9/+TU=")</f>
        <v>#REF!</v>
      </c>
      <c r="BC32" t="e">
        <f>AND(OUTPUT!#REF!,"AAAAAF9/+TY=")</f>
        <v>#REF!</v>
      </c>
      <c r="BD32" t="e">
        <f>AND(OUTPUT!J208,"AAAAAF9/+Tc=")</f>
        <v>#VALUE!</v>
      </c>
      <c r="BE32" t="e">
        <f>AND(OUTPUT!K208,"AAAAAF9/+Tg=")</f>
        <v>#VALUE!</v>
      </c>
      <c r="BF32" t="e">
        <f>AND(OUTPUT!#REF!,"AAAAAF9/+Tk=")</f>
        <v>#REF!</v>
      </c>
      <c r="BG32" t="e">
        <f>AND(OUTPUT!#REF!,"AAAAAF9/+To=")</f>
        <v>#REF!</v>
      </c>
      <c r="BH32" t="e">
        <f>AND(OUTPUT!J209,"AAAAAF9/+Ts=")</f>
        <v>#VALUE!</v>
      </c>
      <c r="BI32" t="e">
        <f>AND(OUTPUT!K209,"AAAAAF9/+Tw=")</f>
        <v>#VALUE!</v>
      </c>
      <c r="BJ32" t="e">
        <f>AND(OUTPUT!#REF!,"AAAAAF9/+T0=")</f>
        <v>#REF!</v>
      </c>
      <c r="BK32" t="e">
        <f>AND(OUTPUT!#REF!,"AAAAAF9/+T4=")</f>
        <v>#REF!</v>
      </c>
      <c r="BL32" t="e">
        <f>AND(OUTPUT!J210,"AAAAAF9/+T8=")</f>
        <v>#VALUE!</v>
      </c>
      <c r="BM32" t="e">
        <f>AND(OUTPUT!K210,"AAAAAF9/+UA=")</f>
        <v>#VALUE!</v>
      </c>
      <c r="BN32" t="e">
        <f>AND(OUTPUT!#REF!,"AAAAAF9/+UE=")</f>
        <v>#REF!</v>
      </c>
      <c r="BO32" t="e">
        <f>AND(OUTPUT!#REF!,"AAAAAF9/+UI=")</f>
        <v>#REF!</v>
      </c>
      <c r="BP32" t="e">
        <f>AND(OUTPUT!J211,"AAAAAF9/+UM=")</f>
        <v>#VALUE!</v>
      </c>
      <c r="BQ32" t="e">
        <f>AND(OUTPUT!K211,"AAAAAF9/+UQ=")</f>
        <v>#VALUE!</v>
      </c>
      <c r="BR32" t="e">
        <f>AND(OUTPUT!#REF!,"AAAAAF9/+UU=")</f>
        <v>#REF!</v>
      </c>
      <c r="BS32" t="e">
        <f>AND(OUTPUT!#REF!,"AAAAAF9/+UY=")</f>
        <v>#REF!</v>
      </c>
      <c r="BT32" t="e">
        <f>AND(OUTPUT!J212,"AAAAAF9/+Uc=")</f>
        <v>#VALUE!</v>
      </c>
      <c r="BU32" t="e">
        <f>AND(OUTPUT!K212,"AAAAAF9/+Ug=")</f>
        <v>#VALUE!</v>
      </c>
      <c r="BV32" t="e">
        <f>AND(OUTPUT!#REF!,"AAAAAF9/+Uk=")</f>
        <v>#REF!</v>
      </c>
      <c r="BW32" t="e">
        <f>AND(OUTPUT!#REF!,"AAAAAF9/+Uo=")</f>
        <v>#REF!</v>
      </c>
      <c r="BX32" t="e">
        <f>AND(OUTPUT!J213,"AAAAAF9/+Us=")</f>
        <v>#VALUE!</v>
      </c>
      <c r="BY32" t="e">
        <f>AND(OUTPUT!K213,"AAAAAF9/+Uw=")</f>
        <v>#VALUE!</v>
      </c>
      <c r="BZ32" t="e">
        <f>AND(OUTPUT!#REF!,"AAAAAF9/+U0=")</f>
        <v>#REF!</v>
      </c>
      <c r="CA32" t="e">
        <f>AND(OUTPUT!#REF!,"AAAAAF9/+U4=")</f>
        <v>#REF!</v>
      </c>
      <c r="CB32" t="e">
        <f>AND(OUTPUT!J214,"AAAAAF9/+U8=")</f>
        <v>#VALUE!</v>
      </c>
      <c r="CC32" t="e">
        <f>AND(OUTPUT!K214,"AAAAAF9/+VA=")</f>
        <v>#VALUE!</v>
      </c>
      <c r="CD32" t="e">
        <f>AND(OUTPUT!#REF!,"AAAAAF9/+VE=")</f>
        <v>#REF!</v>
      </c>
      <c r="CE32" t="e">
        <f>AND(OUTPUT!#REF!,"AAAAAF9/+VI=")</f>
        <v>#REF!</v>
      </c>
      <c r="CF32" t="e">
        <f>AND(OUTPUT!J215,"AAAAAF9/+VM=")</f>
        <v>#VALUE!</v>
      </c>
      <c r="CG32" t="e">
        <f>AND(OUTPUT!K215,"AAAAAF9/+VQ=")</f>
        <v>#VALUE!</v>
      </c>
      <c r="CH32" t="e">
        <f>AND(OUTPUT!#REF!,"AAAAAF9/+VU=")</f>
        <v>#REF!</v>
      </c>
      <c r="CI32" t="e">
        <f>AND(OUTPUT!#REF!,"AAAAAF9/+VY=")</f>
        <v>#REF!</v>
      </c>
      <c r="CJ32" t="e">
        <f>AND(OUTPUT!J216,"AAAAAF9/+Vc=")</f>
        <v>#VALUE!</v>
      </c>
      <c r="CK32" t="e">
        <f>AND(OUTPUT!K216,"AAAAAF9/+Vg=")</f>
        <v>#VALUE!</v>
      </c>
      <c r="CL32" t="e">
        <f>AND(OUTPUT!#REF!,"AAAAAF9/+Vk=")</f>
        <v>#REF!</v>
      </c>
      <c r="CM32" t="e">
        <f>AND(OUTPUT!#REF!,"AAAAAF9/+Vo=")</f>
        <v>#REF!</v>
      </c>
      <c r="CN32" t="e">
        <f>AND(OUTPUT!J219,"AAAAAF9/+Vs=")</f>
        <v>#VALUE!</v>
      </c>
      <c r="CO32" t="e">
        <f>AND(OUTPUT!K219,"AAAAAF9/+Vw=")</f>
        <v>#VALUE!</v>
      </c>
      <c r="CP32" t="e">
        <f>AND(OUTPUT!#REF!,"AAAAAF9/+V0=")</f>
        <v>#REF!</v>
      </c>
      <c r="CQ32" t="e">
        <f>AND(OUTPUT!#REF!,"AAAAAF9/+V4=")</f>
        <v>#REF!</v>
      </c>
      <c r="CR32" t="e">
        <f>AND(OUTPUT!J220,"AAAAAF9/+V8=")</f>
        <v>#VALUE!</v>
      </c>
      <c r="CS32" t="e">
        <f>AND(OUTPUT!K220,"AAAAAF9/+WA=")</f>
        <v>#VALUE!</v>
      </c>
      <c r="CT32" t="e">
        <f>AND(OUTPUT!#REF!,"AAAAAF9/+WE=")</f>
        <v>#REF!</v>
      </c>
      <c r="CU32" t="e">
        <f>AND(OUTPUT!#REF!,"AAAAAF9/+WI=")</f>
        <v>#REF!</v>
      </c>
      <c r="CV32" t="e">
        <f>AND(OUTPUT!J221,"AAAAAF9/+WM=")</f>
        <v>#VALUE!</v>
      </c>
      <c r="CW32" t="e">
        <f>AND(OUTPUT!K221,"AAAAAF9/+WQ=")</f>
        <v>#VALUE!</v>
      </c>
      <c r="CX32" t="e">
        <f>AND(OUTPUT!#REF!,"AAAAAF9/+WU=")</f>
        <v>#REF!</v>
      </c>
      <c r="CY32" t="e">
        <f>AND(OUTPUT!#REF!,"AAAAAF9/+WY=")</f>
        <v>#REF!</v>
      </c>
      <c r="CZ32" t="e">
        <f>AND(OUTPUT!J222,"AAAAAF9/+Wc=")</f>
        <v>#VALUE!</v>
      </c>
      <c r="DA32" t="e">
        <f>AND(OUTPUT!K222,"AAAAAF9/+Wg=")</f>
        <v>#VALUE!</v>
      </c>
      <c r="DB32" t="e">
        <f>AND(OUTPUT!#REF!,"AAAAAF9/+Wk=")</f>
        <v>#REF!</v>
      </c>
      <c r="DC32" t="e">
        <f>AND(OUTPUT!#REF!,"AAAAAF9/+Wo=")</f>
        <v>#REF!</v>
      </c>
      <c r="DD32" t="e">
        <f>AND(OUTPUT!J223,"AAAAAF9/+Ws=")</f>
        <v>#VALUE!</v>
      </c>
      <c r="DE32" t="e">
        <f>AND(OUTPUT!K223,"AAAAAF9/+Ww=")</f>
        <v>#VALUE!</v>
      </c>
      <c r="DF32" t="e">
        <f>AND(OUTPUT!#REF!,"AAAAAF9/+W0=")</f>
        <v>#REF!</v>
      </c>
      <c r="DG32" t="e">
        <f>AND(OUTPUT!#REF!,"AAAAAF9/+W4=")</f>
        <v>#REF!</v>
      </c>
      <c r="DH32" t="e">
        <f>AND(OUTPUT!J224,"AAAAAF9/+W8=")</f>
        <v>#VALUE!</v>
      </c>
      <c r="DI32" t="e">
        <f>AND(OUTPUT!K224,"AAAAAF9/+XA=")</f>
        <v>#VALUE!</v>
      </c>
      <c r="DJ32" t="e">
        <f>AND(OUTPUT!#REF!,"AAAAAF9/+XE=")</f>
        <v>#REF!</v>
      </c>
      <c r="DK32" t="e">
        <f>AND(OUTPUT!#REF!,"AAAAAF9/+XI=")</f>
        <v>#REF!</v>
      </c>
      <c r="DL32" t="e">
        <f>AND(OUTPUT!J225,"AAAAAF9/+XM=")</f>
        <v>#VALUE!</v>
      </c>
      <c r="DM32" t="e">
        <f>AND(OUTPUT!K225,"AAAAAF9/+XQ=")</f>
        <v>#VALUE!</v>
      </c>
      <c r="DN32" t="e">
        <f>AND(OUTPUT!#REF!,"AAAAAF9/+XU=")</f>
        <v>#REF!</v>
      </c>
      <c r="DO32" t="e">
        <f>AND(OUTPUT!#REF!,"AAAAAF9/+XY=")</f>
        <v>#REF!</v>
      </c>
      <c r="DP32" t="e">
        <f>AND(OUTPUT!J226,"AAAAAF9/+Xc=")</f>
        <v>#VALUE!</v>
      </c>
      <c r="DQ32" t="e">
        <f>AND(OUTPUT!K226,"AAAAAF9/+Xg=")</f>
        <v>#VALUE!</v>
      </c>
      <c r="DR32" t="e">
        <f>AND(OUTPUT!#REF!,"AAAAAF9/+Xk=")</f>
        <v>#REF!</v>
      </c>
      <c r="DS32" t="e">
        <f>AND(OUTPUT!#REF!,"AAAAAF9/+Xo=")</f>
        <v>#REF!</v>
      </c>
      <c r="DT32" t="e">
        <f>AND(OUTPUT!J227,"AAAAAF9/+Xs=")</f>
        <v>#VALUE!</v>
      </c>
      <c r="DU32" t="e">
        <f>AND(OUTPUT!K227,"AAAAAF9/+Xw=")</f>
        <v>#VALUE!</v>
      </c>
      <c r="DV32" t="e">
        <f>AND(OUTPUT!#REF!,"AAAAAF9/+X0=")</f>
        <v>#REF!</v>
      </c>
      <c r="DW32" t="e">
        <f>AND(OUTPUT!#REF!,"AAAAAF9/+X4=")</f>
        <v>#REF!</v>
      </c>
      <c r="DX32" t="e">
        <f>AND(OUTPUT!J228,"AAAAAF9/+X8=")</f>
        <v>#VALUE!</v>
      </c>
      <c r="DY32" t="e">
        <f>AND(OUTPUT!K228,"AAAAAF9/+YA=")</f>
        <v>#VALUE!</v>
      </c>
      <c r="DZ32" t="e">
        <f>AND(OUTPUT!#REF!,"AAAAAF9/+YE=")</f>
        <v>#REF!</v>
      </c>
      <c r="EA32" t="e">
        <f>AND(OUTPUT!#REF!,"AAAAAF9/+YI=")</f>
        <v>#REF!</v>
      </c>
      <c r="EB32" t="e">
        <f>AND(OUTPUT!J229,"AAAAAF9/+YM=")</f>
        <v>#VALUE!</v>
      </c>
      <c r="EC32" t="e">
        <f>AND(OUTPUT!K229,"AAAAAF9/+YQ=")</f>
        <v>#VALUE!</v>
      </c>
      <c r="ED32" t="e">
        <f>AND(OUTPUT!#REF!,"AAAAAF9/+YU=")</f>
        <v>#REF!</v>
      </c>
      <c r="EE32" t="e">
        <f>AND(OUTPUT!#REF!,"AAAAAF9/+YY=")</f>
        <v>#REF!</v>
      </c>
      <c r="EF32" t="e">
        <f>AND(OUTPUT!J230,"AAAAAF9/+Yc=")</f>
        <v>#VALUE!</v>
      </c>
      <c r="EG32" t="e">
        <f>AND(OUTPUT!K230,"AAAAAF9/+Yg=")</f>
        <v>#VALUE!</v>
      </c>
      <c r="EH32" t="e">
        <f>AND(OUTPUT!#REF!,"AAAAAF9/+Yk=")</f>
        <v>#REF!</v>
      </c>
      <c r="EI32" t="e">
        <f>AND(OUTPUT!#REF!,"AAAAAF9/+Yo=")</f>
        <v>#REF!</v>
      </c>
      <c r="EJ32" t="e">
        <f>AND(OUTPUT!J231,"AAAAAF9/+Ys=")</f>
        <v>#VALUE!</v>
      </c>
      <c r="EK32" t="e">
        <f>AND(OUTPUT!K231,"AAAAAF9/+Yw=")</f>
        <v>#VALUE!</v>
      </c>
      <c r="EL32" t="e">
        <f>AND(OUTPUT!#REF!,"AAAAAF9/+Y0=")</f>
        <v>#REF!</v>
      </c>
      <c r="EM32" t="e">
        <f>AND(OUTPUT!#REF!,"AAAAAF9/+Y4=")</f>
        <v>#REF!</v>
      </c>
      <c r="EN32" t="e">
        <f>AND(OUTPUT!J232,"AAAAAF9/+Y8=")</f>
        <v>#VALUE!</v>
      </c>
      <c r="EO32" t="e">
        <f>AND(OUTPUT!K232,"AAAAAF9/+ZA=")</f>
        <v>#VALUE!</v>
      </c>
      <c r="EP32" t="e">
        <f>AND(OUTPUT!#REF!,"AAAAAF9/+ZE=")</f>
        <v>#REF!</v>
      </c>
      <c r="EQ32" t="e">
        <f>AND(OUTPUT!#REF!,"AAAAAF9/+ZI=")</f>
        <v>#REF!</v>
      </c>
      <c r="ER32" t="e">
        <f>AND(OUTPUT!J233,"AAAAAF9/+ZM=")</f>
        <v>#VALUE!</v>
      </c>
      <c r="ES32" t="e">
        <f>AND(OUTPUT!K233,"AAAAAF9/+ZQ=")</f>
        <v>#VALUE!</v>
      </c>
      <c r="ET32" t="e">
        <f>AND(OUTPUT!#REF!,"AAAAAF9/+ZU=")</f>
        <v>#REF!</v>
      </c>
      <c r="EU32" t="e">
        <f>AND(OUTPUT!#REF!,"AAAAAF9/+ZY=")</f>
        <v>#REF!</v>
      </c>
      <c r="EV32" t="e">
        <f>AND(OUTPUT!J234,"AAAAAF9/+Zc=")</f>
        <v>#VALUE!</v>
      </c>
      <c r="EW32" t="e">
        <f>AND(OUTPUT!K234,"AAAAAF9/+Zg=")</f>
        <v>#VALUE!</v>
      </c>
      <c r="EX32" t="e">
        <f>AND(OUTPUT!#REF!,"AAAAAF9/+Zk=")</f>
        <v>#REF!</v>
      </c>
      <c r="EY32" t="e">
        <f>AND(OUTPUT!#REF!,"AAAAAF9/+Zo=")</f>
        <v>#REF!</v>
      </c>
      <c r="EZ32" t="e">
        <f>AND(OUTPUT!J235,"AAAAAF9/+Zs=")</f>
        <v>#VALUE!</v>
      </c>
      <c r="FA32" t="e">
        <f>AND(OUTPUT!K235,"AAAAAF9/+Zw=")</f>
        <v>#VALUE!</v>
      </c>
      <c r="FB32" t="e">
        <f>AND(OUTPUT!#REF!,"AAAAAF9/+Z0=")</f>
        <v>#REF!</v>
      </c>
      <c r="FC32" t="e">
        <f>AND(OUTPUT!#REF!,"AAAAAF9/+Z4=")</f>
        <v>#REF!</v>
      </c>
      <c r="FD32" t="e">
        <f>AND(OUTPUT!J236,"AAAAAF9/+Z8=")</f>
        <v>#VALUE!</v>
      </c>
      <c r="FE32" t="e">
        <f>AND(OUTPUT!K236,"AAAAAF9/+aA=")</f>
        <v>#VALUE!</v>
      </c>
      <c r="FF32" t="e">
        <f>AND(OUTPUT!#REF!,"AAAAAF9/+aE=")</f>
        <v>#REF!</v>
      </c>
      <c r="FG32" t="e">
        <f>AND(OUTPUT!#REF!,"AAAAAF9/+aI=")</f>
        <v>#REF!</v>
      </c>
      <c r="FH32" t="e">
        <f>AND(OUTPUT!J237,"AAAAAF9/+aM=")</f>
        <v>#VALUE!</v>
      </c>
      <c r="FI32" t="e">
        <f>AND(OUTPUT!K237,"AAAAAF9/+aQ=")</f>
        <v>#VALUE!</v>
      </c>
      <c r="FJ32" t="e">
        <f>AND(OUTPUT!#REF!,"AAAAAF9/+aU=")</f>
        <v>#REF!</v>
      </c>
      <c r="FK32" t="e">
        <f>AND(OUTPUT!#REF!,"AAAAAF9/+aY=")</f>
        <v>#REF!</v>
      </c>
      <c r="FL32" t="e">
        <f>AND(OUTPUT!J238,"AAAAAF9/+ac=")</f>
        <v>#VALUE!</v>
      </c>
      <c r="FM32" t="e">
        <f>AND(OUTPUT!K238,"AAAAAF9/+ag=")</f>
        <v>#VALUE!</v>
      </c>
      <c r="FN32" t="e">
        <f>AND(OUTPUT!#REF!,"AAAAAF9/+ak=")</f>
        <v>#REF!</v>
      </c>
      <c r="FO32" t="e">
        <f>AND(OUTPUT!#REF!,"AAAAAF9/+ao=")</f>
        <v>#REF!</v>
      </c>
      <c r="FP32" t="e">
        <f>AND(OUTPUT!J239,"AAAAAF9/+as=")</f>
        <v>#VALUE!</v>
      </c>
      <c r="FQ32" t="e">
        <f>AND(OUTPUT!K239,"AAAAAF9/+aw=")</f>
        <v>#VALUE!</v>
      </c>
      <c r="FR32" t="e">
        <f>AND(OUTPUT!#REF!,"AAAAAF9/+a0=")</f>
        <v>#REF!</v>
      </c>
      <c r="FS32" t="e">
        <f>AND(OUTPUT!#REF!,"AAAAAF9/+a4=")</f>
        <v>#REF!</v>
      </c>
      <c r="FT32" t="e">
        <f>AND(OUTPUT!J240,"AAAAAF9/+a8=")</f>
        <v>#VALUE!</v>
      </c>
      <c r="FU32" t="e">
        <f>AND(OUTPUT!K240,"AAAAAF9/+bA=")</f>
        <v>#VALUE!</v>
      </c>
      <c r="FV32" t="e">
        <f>AND(OUTPUT!#REF!,"AAAAAF9/+bE=")</f>
        <v>#REF!</v>
      </c>
      <c r="FW32" t="e">
        <f>AND(OUTPUT!#REF!,"AAAAAF9/+bI=")</f>
        <v>#REF!</v>
      </c>
      <c r="FX32" t="e">
        <f>AND(OUTPUT!J241,"AAAAAF9/+bM=")</f>
        <v>#VALUE!</v>
      </c>
      <c r="FY32" t="e">
        <f>AND(OUTPUT!K241,"AAAAAF9/+bQ=")</f>
        <v>#VALUE!</v>
      </c>
      <c r="FZ32" t="e">
        <f>AND(OUTPUT!#REF!,"AAAAAF9/+bU=")</f>
        <v>#REF!</v>
      </c>
      <c r="GA32" t="e">
        <f>AND(OUTPUT!#REF!,"AAAAAF9/+bY=")</f>
        <v>#REF!</v>
      </c>
      <c r="GB32" t="e">
        <f>AND(OUTPUT!J242,"AAAAAF9/+bc=")</f>
        <v>#VALUE!</v>
      </c>
      <c r="GC32" t="e">
        <f>AND(OUTPUT!K242,"AAAAAF9/+bg=")</f>
        <v>#VALUE!</v>
      </c>
      <c r="GD32" t="e">
        <f>AND(OUTPUT!#REF!,"AAAAAF9/+bk=")</f>
        <v>#REF!</v>
      </c>
      <c r="GE32" t="e">
        <f>AND(OUTPUT!#REF!,"AAAAAF9/+bo=")</f>
        <v>#REF!</v>
      </c>
      <c r="GF32" t="e">
        <f>AND(OUTPUT!J243,"AAAAAF9/+bs=")</f>
        <v>#VALUE!</v>
      </c>
      <c r="GG32" t="e">
        <f>AND(OUTPUT!K243,"AAAAAF9/+bw=")</f>
        <v>#VALUE!</v>
      </c>
      <c r="GH32" t="e">
        <f>AND(OUTPUT!#REF!,"AAAAAF9/+b0=")</f>
        <v>#REF!</v>
      </c>
      <c r="GI32" t="e">
        <f>AND(OUTPUT!#REF!,"AAAAAF9/+b4=")</f>
        <v>#REF!</v>
      </c>
      <c r="GJ32" t="e">
        <f>AND(OUTPUT!J244,"AAAAAF9/+b8=")</f>
        <v>#VALUE!</v>
      </c>
      <c r="GK32" t="e">
        <f>AND(OUTPUT!K244,"AAAAAF9/+cA=")</f>
        <v>#VALUE!</v>
      </c>
      <c r="GL32" t="e">
        <f>AND(OUTPUT!#REF!,"AAAAAF9/+cE=")</f>
        <v>#REF!</v>
      </c>
      <c r="GM32" t="e">
        <f>AND(OUTPUT!#REF!,"AAAAAF9/+cI=")</f>
        <v>#REF!</v>
      </c>
      <c r="GN32" t="e">
        <f>AND(OUTPUT!J245,"AAAAAF9/+cM=")</f>
        <v>#VALUE!</v>
      </c>
      <c r="GO32" t="e">
        <f>AND(OUTPUT!K245,"AAAAAF9/+cQ=")</f>
        <v>#VALUE!</v>
      </c>
      <c r="GP32" t="e">
        <f>AND(OUTPUT!#REF!,"AAAAAF9/+cU=")</f>
        <v>#REF!</v>
      </c>
      <c r="GQ32" t="e">
        <f>AND(OUTPUT!#REF!,"AAAAAF9/+cY=")</f>
        <v>#REF!</v>
      </c>
      <c r="GR32" t="e">
        <f>AND(OUTPUT!J246,"AAAAAF9/+cc=")</f>
        <v>#VALUE!</v>
      </c>
      <c r="GS32" t="e">
        <f>AND(OUTPUT!K246,"AAAAAF9/+cg=")</f>
        <v>#VALUE!</v>
      </c>
      <c r="GT32" t="e">
        <f>AND(OUTPUT!#REF!,"AAAAAF9/+ck=")</f>
        <v>#REF!</v>
      </c>
      <c r="GU32" t="e">
        <f>AND(OUTPUT!#REF!,"AAAAAF9/+co=")</f>
        <v>#REF!</v>
      </c>
      <c r="GV32" t="e">
        <f>AND(OUTPUT!J247,"AAAAAF9/+cs=")</f>
        <v>#VALUE!</v>
      </c>
      <c r="GW32" t="e">
        <f>AND(OUTPUT!K247,"AAAAAF9/+cw=")</f>
        <v>#VALUE!</v>
      </c>
      <c r="GX32" t="e">
        <f>AND(OUTPUT!#REF!,"AAAAAF9/+c0=")</f>
        <v>#REF!</v>
      </c>
      <c r="GY32" t="e">
        <f>AND(OUTPUT!#REF!,"AAAAAF9/+c4=")</f>
        <v>#REF!</v>
      </c>
      <c r="GZ32" t="e">
        <f>AND(OUTPUT!J248,"AAAAAF9/+c8=")</f>
        <v>#VALUE!</v>
      </c>
      <c r="HA32" t="e">
        <f>AND(OUTPUT!K248,"AAAAAF9/+dA=")</f>
        <v>#VALUE!</v>
      </c>
      <c r="HB32" t="e">
        <f>AND(OUTPUT!#REF!,"AAAAAF9/+dE=")</f>
        <v>#REF!</v>
      </c>
      <c r="HC32" t="e">
        <f>AND(OUTPUT!#REF!,"AAAAAF9/+dI=")</f>
        <v>#REF!</v>
      </c>
      <c r="HD32" t="e">
        <f>AND(OUTPUT!J249,"AAAAAF9/+dM=")</f>
        <v>#VALUE!</v>
      </c>
      <c r="HE32" t="e">
        <f>AND(OUTPUT!K249,"AAAAAF9/+dQ=")</f>
        <v>#VALUE!</v>
      </c>
      <c r="HF32" t="e">
        <f>AND(OUTPUT!#REF!,"AAAAAF9/+dU=")</f>
        <v>#REF!</v>
      </c>
      <c r="HG32" t="e">
        <f>AND(OUTPUT!#REF!,"AAAAAF9/+dY=")</f>
        <v>#REF!</v>
      </c>
      <c r="HH32" t="e">
        <f>AND(OUTPUT!J250,"AAAAAF9/+dc=")</f>
        <v>#VALUE!</v>
      </c>
      <c r="HI32" t="e">
        <f>AND(OUTPUT!K250,"AAAAAF9/+dg=")</f>
        <v>#VALUE!</v>
      </c>
      <c r="HJ32" t="e">
        <f>AND(OUTPUT!#REF!,"AAAAAF9/+dk=")</f>
        <v>#REF!</v>
      </c>
      <c r="HK32" t="e">
        <f>AND(OUTPUT!#REF!,"AAAAAF9/+do=")</f>
        <v>#REF!</v>
      </c>
      <c r="HL32" t="e">
        <f>AND(OUTPUT!J251,"AAAAAF9/+ds=")</f>
        <v>#VALUE!</v>
      </c>
      <c r="HM32" t="e">
        <f>AND(OUTPUT!K251,"AAAAAF9/+dw=")</f>
        <v>#VALUE!</v>
      </c>
      <c r="HN32" t="e">
        <f>AND(OUTPUT!#REF!,"AAAAAF9/+d0=")</f>
        <v>#REF!</v>
      </c>
      <c r="HO32" t="e">
        <f>AND(OUTPUT!#REF!,"AAAAAF9/+d4=")</f>
        <v>#REF!</v>
      </c>
      <c r="HP32" t="e">
        <f>AND(OUTPUT!J252,"AAAAAF9/+d8=")</f>
        <v>#VALUE!</v>
      </c>
      <c r="HQ32" t="e">
        <f>AND(OUTPUT!K252,"AAAAAF9/+eA=")</f>
        <v>#VALUE!</v>
      </c>
      <c r="HR32" t="e">
        <f>AND(OUTPUT!#REF!,"AAAAAF9/+eE=")</f>
        <v>#REF!</v>
      </c>
      <c r="HS32" t="e">
        <f>AND(OUTPUT!#REF!,"AAAAAF9/+eI=")</f>
        <v>#REF!</v>
      </c>
      <c r="HT32" t="e">
        <f>AND(OUTPUT!J253,"AAAAAF9/+eM=")</f>
        <v>#VALUE!</v>
      </c>
      <c r="HU32" t="e">
        <f>AND(OUTPUT!K253,"AAAAAF9/+eQ=")</f>
        <v>#VALUE!</v>
      </c>
      <c r="HV32" t="e">
        <f>AND(OUTPUT!#REF!,"AAAAAF9/+eU=")</f>
        <v>#REF!</v>
      </c>
      <c r="HW32" t="e">
        <f>AND(OUTPUT!#REF!,"AAAAAF9/+eY=")</f>
        <v>#REF!</v>
      </c>
      <c r="HX32" t="e">
        <f>AND(OUTPUT!J254,"AAAAAF9/+ec=")</f>
        <v>#VALUE!</v>
      </c>
      <c r="HY32" t="e">
        <f>AND(OUTPUT!K254,"AAAAAF9/+eg=")</f>
        <v>#VALUE!</v>
      </c>
      <c r="HZ32" t="e">
        <f>AND(OUTPUT!#REF!,"AAAAAF9/+ek=")</f>
        <v>#REF!</v>
      </c>
      <c r="IA32" t="e">
        <f>AND(OUTPUT!#REF!,"AAAAAF9/+eo=")</f>
        <v>#REF!</v>
      </c>
      <c r="IB32" t="e">
        <f>AND(OUTPUT!J255,"AAAAAF9/+es=")</f>
        <v>#VALUE!</v>
      </c>
      <c r="IC32" t="e">
        <f>AND(OUTPUT!K255,"AAAAAF9/+ew=")</f>
        <v>#VALUE!</v>
      </c>
      <c r="ID32" t="e">
        <f>AND(OUTPUT!#REF!,"AAAAAF9/+e0=")</f>
        <v>#REF!</v>
      </c>
      <c r="IE32" t="e">
        <f>AND(OUTPUT!#REF!,"AAAAAF9/+e4=")</f>
        <v>#REF!</v>
      </c>
      <c r="IF32" t="e">
        <f>AND(OUTPUT!J256,"AAAAAF9/+e8=")</f>
        <v>#VALUE!</v>
      </c>
      <c r="IG32" t="e">
        <f>AND(OUTPUT!K256,"AAAAAF9/+fA=")</f>
        <v>#VALUE!</v>
      </c>
      <c r="IH32" t="e">
        <f>AND(OUTPUT!#REF!,"AAAAAF9/+fE=")</f>
        <v>#REF!</v>
      </c>
      <c r="II32" t="e">
        <f>AND(OUTPUT!#REF!,"AAAAAF9/+fI=")</f>
        <v>#REF!</v>
      </c>
      <c r="IJ32" t="e">
        <f>AND(OUTPUT!J257,"AAAAAF9/+fM=")</f>
        <v>#VALUE!</v>
      </c>
      <c r="IK32" t="e">
        <f>AND(OUTPUT!K257,"AAAAAF9/+fQ=")</f>
        <v>#VALUE!</v>
      </c>
      <c r="IL32" t="e">
        <f>AND(OUTPUT!#REF!,"AAAAAF9/+fU=")</f>
        <v>#REF!</v>
      </c>
      <c r="IM32" t="e">
        <f>AND(OUTPUT!#REF!,"AAAAAF9/+fY=")</f>
        <v>#REF!</v>
      </c>
      <c r="IN32" t="e">
        <f>AND(OUTPUT!J258,"AAAAAF9/+fc=")</f>
        <v>#VALUE!</v>
      </c>
      <c r="IO32" t="e">
        <f>AND(OUTPUT!K258,"AAAAAF9/+fg=")</f>
        <v>#VALUE!</v>
      </c>
      <c r="IP32" t="e">
        <f>AND(OUTPUT!#REF!,"AAAAAF9/+fk=")</f>
        <v>#REF!</v>
      </c>
      <c r="IQ32" t="e">
        <f>AND(OUTPUT!#REF!,"AAAAAF9/+fo=")</f>
        <v>#REF!</v>
      </c>
      <c r="IR32" t="e">
        <f>AND(OUTPUT!J259,"AAAAAF9/+fs=")</f>
        <v>#VALUE!</v>
      </c>
      <c r="IS32" t="e">
        <f>AND(OUTPUT!K259,"AAAAAF9/+fw=")</f>
        <v>#VALUE!</v>
      </c>
      <c r="IT32" t="e">
        <f>AND(OUTPUT!#REF!,"AAAAAF9/+f0=")</f>
        <v>#REF!</v>
      </c>
      <c r="IU32" t="e">
        <f>AND(OUTPUT!#REF!,"AAAAAF9/+f4=")</f>
        <v>#REF!</v>
      </c>
      <c r="IV32" t="e">
        <f>AND(OUTPUT!J260,"AAAAAF9/+f8=")</f>
        <v>#VALUE!</v>
      </c>
    </row>
    <row r="33" spans="1:256" x14ac:dyDescent="0.2">
      <c r="A33" t="e">
        <f>AND(OUTPUT!K260,"AAAAAH4eGwA=")</f>
        <v>#VALUE!</v>
      </c>
      <c r="B33" t="e">
        <f>AND(OUTPUT!#REF!,"AAAAAH4eGwE=")</f>
        <v>#REF!</v>
      </c>
      <c r="C33" t="e">
        <f>AND(OUTPUT!#REF!,"AAAAAH4eGwI=")</f>
        <v>#REF!</v>
      </c>
      <c r="D33" t="e">
        <f>AND(OUTPUT!J261,"AAAAAH4eGwM=")</f>
        <v>#VALUE!</v>
      </c>
      <c r="E33" t="e">
        <f>AND(OUTPUT!K261,"AAAAAH4eGwQ=")</f>
        <v>#VALUE!</v>
      </c>
      <c r="F33" t="e">
        <f>AND(OUTPUT!#REF!,"AAAAAH4eGwU=")</f>
        <v>#REF!</v>
      </c>
      <c r="G33" t="e">
        <f>AND(OUTPUT!#REF!,"AAAAAH4eGwY=")</f>
        <v>#REF!</v>
      </c>
      <c r="H33" t="e">
        <f>AND(OUTPUT!J262,"AAAAAH4eGwc=")</f>
        <v>#VALUE!</v>
      </c>
      <c r="I33" t="e">
        <f>AND(OUTPUT!K262,"AAAAAH4eGwg=")</f>
        <v>#VALUE!</v>
      </c>
      <c r="J33" t="e">
        <f>AND(OUTPUT!#REF!,"AAAAAH4eGwk=")</f>
        <v>#REF!</v>
      </c>
      <c r="K33" t="e">
        <f>AND(OUTPUT!#REF!,"AAAAAH4eGwo=")</f>
        <v>#REF!</v>
      </c>
      <c r="L33" t="e">
        <f>AND(OUTPUT!J263,"AAAAAH4eGws=")</f>
        <v>#VALUE!</v>
      </c>
      <c r="M33" t="e">
        <f>AND(OUTPUT!K263,"AAAAAH4eGww=")</f>
        <v>#VALUE!</v>
      </c>
      <c r="N33" t="e">
        <f>AND(OUTPUT!#REF!,"AAAAAH4eGw0=")</f>
        <v>#REF!</v>
      </c>
      <c r="O33" t="e">
        <f>AND(OUTPUT!#REF!,"AAAAAH4eGw4=")</f>
        <v>#REF!</v>
      </c>
      <c r="P33" t="e">
        <f>AND(OUTPUT!J264,"AAAAAH4eGw8=")</f>
        <v>#VALUE!</v>
      </c>
      <c r="Q33" t="e">
        <f>AND(OUTPUT!K264,"AAAAAH4eGxA=")</f>
        <v>#VALUE!</v>
      </c>
      <c r="R33" t="e">
        <f>AND(OUTPUT!#REF!,"AAAAAH4eGxE=")</f>
        <v>#REF!</v>
      </c>
      <c r="S33" t="e">
        <f>AND(OUTPUT!#REF!,"AAAAAH4eGxI=")</f>
        <v>#REF!</v>
      </c>
      <c r="T33" t="e">
        <f>AND(OUTPUT!J265,"AAAAAH4eGxM=")</f>
        <v>#VALUE!</v>
      </c>
      <c r="U33" t="e">
        <f>AND(OUTPUT!K265,"AAAAAH4eGxQ=")</f>
        <v>#VALUE!</v>
      </c>
      <c r="V33" t="e">
        <f>AND(OUTPUT!#REF!,"AAAAAH4eGxU=")</f>
        <v>#REF!</v>
      </c>
      <c r="W33" t="e">
        <f>AND(OUTPUT!#REF!,"AAAAAH4eGxY=")</f>
        <v>#REF!</v>
      </c>
      <c r="X33" t="e">
        <f>AND(OUTPUT!J266,"AAAAAH4eGxc=")</f>
        <v>#VALUE!</v>
      </c>
      <c r="Y33" t="e">
        <f>AND(OUTPUT!K266,"AAAAAH4eGxg=")</f>
        <v>#VALUE!</v>
      </c>
      <c r="Z33" t="e">
        <f>AND(OUTPUT!#REF!,"AAAAAH4eGxk=")</f>
        <v>#REF!</v>
      </c>
      <c r="AA33" t="e">
        <f>AND(OUTPUT!#REF!,"AAAAAH4eGxo=")</f>
        <v>#REF!</v>
      </c>
      <c r="AB33" t="e">
        <f>AND(OUTPUT!J267,"AAAAAH4eGxs=")</f>
        <v>#VALUE!</v>
      </c>
      <c r="AC33" t="e">
        <f>AND(OUTPUT!K267,"AAAAAH4eGxw=")</f>
        <v>#VALUE!</v>
      </c>
      <c r="AD33" t="e">
        <f>AND(OUTPUT!#REF!,"AAAAAH4eGx0=")</f>
        <v>#REF!</v>
      </c>
      <c r="AE33" t="e">
        <f>AND(OUTPUT!#REF!,"AAAAAH4eGx4=")</f>
        <v>#REF!</v>
      </c>
      <c r="AF33" t="e">
        <f>AND(OUTPUT!J268,"AAAAAH4eGx8=")</f>
        <v>#VALUE!</v>
      </c>
      <c r="AG33" t="e">
        <f>AND(OUTPUT!K268,"AAAAAH4eGyA=")</f>
        <v>#VALUE!</v>
      </c>
      <c r="AH33" t="e">
        <f>AND(OUTPUT!#REF!,"AAAAAH4eGyE=")</f>
        <v>#REF!</v>
      </c>
      <c r="AI33" t="e">
        <f>AND(OUTPUT!#REF!,"AAAAAH4eGyI=")</f>
        <v>#REF!</v>
      </c>
      <c r="AJ33" t="e">
        <f>AND(OUTPUT!J269,"AAAAAH4eGyM=")</f>
        <v>#VALUE!</v>
      </c>
      <c r="AK33" t="e">
        <f>AND(OUTPUT!K269,"AAAAAH4eGyQ=")</f>
        <v>#VALUE!</v>
      </c>
      <c r="AL33" t="e">
        <f>AND(OUTPUT!#REF!,"AAAAAH4eGyU=")</f>
        <v>#REF!</v>
      </c>
      <c r="AM33" t="e">
        <f>AND(OUTPUT!#REF!,"AAAAAH4eGyY=")</f>
        <v>#REF!</v>
      </c>
      <c r="AN33" t="e">
        <f>AND(OUTPUT!J270,"AAAAAH4eGyc=")</f>
        <v>#VALUE!</v>
      </c>
      <c r="AO33" t="e">
        <f>AND(OUTPUT!K270,"AAAAAH4eGyg=")</f>
        <v>#VALUE!</v>
      </c>
      <c r="AP33" t="e">
        <f>AND(OUTPUT!#REF!,"AAAAAH4eGyk=")</f>
        <v>#REF!</v>
      </c>
      <c r="AQ33" t="e">
        <f>AND(OUTPUT!#REF!,"AAAAAH4eGyo=")</f>
        <v>#REF!</v>
      </c>
      <c r="AR33" t="e">
        <f>AND(OUTPUT!J271,"AAAAAH4eGys=")</f>
        <v>#VALUE!</v>
      </c>
      <c r="AS33" t="e">
        <f>AND(OUTPUT!K271,"AAAAAH4eGyw=")</f>
        <v>#VALUE!</v>
      </c>
      <c r="AT33" t="e">
        <f>AND(OUTPUT!#REF!,"AAAAAH4eGy0=")</f>
        <v>#REF!</v>
      </c>
      <c r="AU33" t="e">
        <f>AND(OUTPUT!#REF!,"AAAAAH4eGy4=")</f>
        <v>#REF!</v>
      </c>
      <c r="AV33" t="e">
        <f>AND(OUTPUT!J272,"AAAAAH4eGy8=")</f>
        <v>#VALUE!</v>
      </c>
      <c r="AW33" t="e">
        <f>AND(OUTPUT!K272,"AAAAAH4eGzA=")</f>
        <v>#VALUE!</v>
      </c>
      <c r="AX33" t="e">
        <f>AND(OUTPUT!#REF!,"AAAAAH4eGzE=")</f>
        <v>#REF!</v>
      </c>
      <c r="AY33" t="e">
        <f>AND(OUTPUT!#REF!,"AAAAAH4eGzI=")</f>
        <v>#REF!</v>
      </c>
      <c r="AZ33" t="e">
        <f>AND(OUTPUT!J273,"AAAAAH4eGzM=")</f>
        <v>#VALUE!</v>
      </c>
      <c r="BA33" t="e">
        <f>AND(OUTPUT!K273,"AAAAAH4eGzQ=")</f>
        <v>#VALUE!</v>
      </c>
      <c r="BB33" t="e">
        <f>AND(OUTPUT!#REF!,"AAAAAH4eGzU=")</f>
        <v>#REF!</v>
      </c>
      <c r="BC33" t="e">
        <f>AND(OUTPUT!#REF!,"AAAAAH4eGzY=")</f>
        <v>#REF!</v>
      </c>
      <c r="BD33" t="e">
        <f>AND(OUTPUT!J274,"AAAAAH4eGzc=")</f>
        <v>#VALUE!</v>
      </c>
      <c r="BE33" t="e">
        <f>AND(OUTPUT!K274,"AAAAAH4eGzg=")</f>
        <v>#VALUE!</v>
      </c>
      <c r="BF33" t="e">
        <f>AND(OUTPUT!#REF!,"AAAAAH4eGzk=")</f>
        <v>#REF!</v>
      </c>
      <c r="BG33" t="e">
        <f>AND(OUTPUT!#REF!,"AAAAAH4eGzo=")</f>
        <v>#REF!</v>
      </c>
      <c r="BH33" t="e">
        <f>AND(OUTPUT!J275,"AAAAAH4eGzs=")</f>
        <v>#VALUE!</v>
      </c>
      <c r="BI33" t="e">
        <f>AND(OUTPUT!K275,"AAAAAH4eGzw=")</f>
        <v>#VALUE!</v>
      </c>
      <c r="BJ33" t="e">
        <f>AND(OUTPUT!#REF!,"AAAAAH4eGz0=")</f>
        <v>#REF!</v>
      </c>
      <c r="BK33" t="e">
        <f>AND(OUTPUT!#REF!,"AAAAAH4eGz4=")</f>
        <v>#REF!</v>
      </c>
      <c r="BL33" t="e">
        <f>AND(OUTPUT!J276,"AAAAAH4eGz8=")</f>
        <v>#VALUE!</v>
      </c>
      <c r="BM33" t="e">
        <f>AND(OUTPUT!K276,"AAAAAH4eG0A=")</f>
        <v>#VALUE!</v>
      </c>
      <c r="BN33" t="e">
        <f>AND(OUTPUT!#REF!,"AAAAAH4eG0E=")</f>
        <v>#REF!</v>
      </c>
      <c r="BO33" t="e">
        <f>AND(OUTPUT!#REF!,"AAAAAH4eG0I=")</f>
        <v>#REF!</v>
      </c>
      <c r="BP33" t="e">
        <f>AND(OUTPUT!J277,"AAAAAH4eG0M=")</f>
        <v>#VALUE!</v>
      </c>
      <c r="BQ33" t="e">
        <f>AND(OUTPUT!K277,"AAAAAH4eG0Q=")</f>
        <v>#VALUE!</v>
      </c>
      <c r="BR33" t="e">
        <f>AND(OUTPUT!#REF!,"AAAAAH4eG0U=")</f>
        <v>#REF!</v>
      </c>
      <c r="BS33" t="e">
        <f>AND(OUTPUT!#REF!,"AAAAAH4eG0Y=")</f>
        <v>#REF!</v>
      </c>
      <c r="BT33" t="e">
        <f>AND(OUTPUT!J278,"AAAAAH4eG0c=")</f>
        <v>#VALUE!</v>
      </c>
      <c r="BU33" t="e">
        <f>AND(OUTPUT!K278,"AAAAAH4eG0g=")</f>
        <v>#VALUE!</v>
      </c>
      <c r="BV33" t="e">
        <f>AND(OUTPUT!#REF!,"AAAAAH4eG0k=")</f>
        <v>#REF!</v>
      </c>
      <c r="BW33" t="e">
        <f>AND(OUTPUT!#REF!,"AAAAAH4eG0o=")</f>
        <v>#REF!</v>
      </c>
      <c r="BX33" t="e">
        <f>AND(OUTPUT!J279,"AAAAAH4eG0s=")</f>
        <v>#VALUE!</v>
      </c>
      <c r="BY33" t="e">
        <f>AND(OUTPUT!K279,"AAAAAH4eG0w=")</f>
        <v>#VALUE!</v>
      </c>
      <c r="BZ33" t="e">
        <f>AND(OUTPUT!#REF!,"AAAAAH4eG00=")</f>
        <v>#REF!</v>
      </c>
      <c r="CA33" t="e">
        <f>AND(OUTPUT!#REF!,"AAAAAH4eG04=")</f>
        <v>#REF!</v>
      </c>
      <c r="CB33" t="e">
        <f>AND(OUTPUT!J280,"AAAAAH4eG08=")</f>
        <v>#VALUE!</v>
      </c>
      <c r="CC33" t="e">
        <f>AND(OUTPUT!K280,"AAAAAH4eG1A=")</f>
        <v>#VALUE!</v>
      </c>
      <c r="CD33" t="e">
        <f>AND(OUTPUT!#REF!,"AAAAAH4eG1E=")</f>
        <v>#REF!</v>
      </c>
      <c r="CE33" t="e">
        <f>AND(OUTPUT!#REF!,"AAAAAH4eG1I=")</f>
        <v>#REF!</v>
      </c>
      <c r="CF33" t="e">
        <f>AND(OUTPUT!J281,"AAAAAH4eG1M=")</f>
        <v>#VALUE!</v>
      </c>
      <c r="CG33" t="e">
        <f>AND(OUTPUT!K281,"AAAAAH4eG1Q=")</f>
        <v>#VALUE!</v>
      </c>
      <c r="CH33" t="e">
        <f>AND(OUTPUT!#REF!,"AAAAAH4eG1U=")</f>
        <v>#REF!</v>
      </c>
      <c r="CI33" t="e">
        <f>AND(OUTPUT!#REF!,"AAAAAH4eG1Y=")</f>
        <v>#REF!</v>
      </c>
      <c r="CJ33" t="e">
        <f>AND(OUTPUT!J282,"AAAAAH4eG1c=")</f>
        <v>#VALUE!</v>
      </c>
      <c r="CK33" t="e">
        <f>AND(OUTPUT!K282,"AAAAAH4eG1g=")</f>
        <v>#VALUE!</v>
      </c>
      <c r="CL33" t="e">
        <f>AND(OUTPUT!#REF!,"AAAAAH4eG1k=")</f>
        <v>#REF!</v>
      </c>
      <c r="CM33" t="e">
        <f>AND(OUTPUT!#REF!,"AAAAAH4eG1o=")</f>
        <v>#REF!</v>
      </c>
      <c r="CN33">
        <f>IF(OUTPUT!J:J,"AAAAAH4eG1s=",0)</f>
        <v>0</v>
      </c>
      <c r="CO33">
        <f>IF(OUTPUT!K:K,"AAAAAH4eG1w=",0)</f>
        <v>0</v>
      </c>
      <c r="CP33" t="e">
        <f>IF(OUTPUT!#REF!,"AAAAAH4eG10=",0)</f>
        <v>#REF!</v>
      </c>
      <c r="CQ33" t="e">
        <f>IF(OUTPUT!#REF!,"AAAAAH4eG14=",0)</f>
        <v>#REF!</v>
      </c>
      <c r="CR33">
        <f>IF(STOCK!4:4,"AAAAAH4eG18=",0)</f>
        <v>0</v>
      </c>
      <c r="CS33" t="e">
        <f>AND(STOCK!B4,"AAAAAH4eG2A=")</f>
        <v>#VALUE!</v>
      </c>
      <c r="CT33" t="e">
        <f>AND(STOCK!C4,"AAAAAH4eG2E=")</f>
        <v>#VALUE!</v>
      </c>
      <c r="CU33" t="e">
        <f>AND(STOCK!D4,"AAAAAH4eG2I=")</f>
        <v>#VALUE!</v>
      </c>
      <c r="CV33" t="e">
        <f>AND(STOCK!E4,"AAAAAH4eG2M=")</f>
        <v>#VALUE!</v>
      </c>
      <c r="CW33" t="e">
        <f>AND(STOCK!#REF!,"AAAAAH4eG2Q=")</f>
        <v>#REF!</v>
      </c>
      <c r="CX33" t="e">
        <f>AND(STOCK!#REF!,"AAAAAH4eG2U=")</f>
        <v>#REF!</v>
      </c>
      <c r="CY33" t="e">
        <f>AND(STOCK!#REF!,"AAAAAH4eG2Y=")</f>
        <v>#REF!</v>
      </c>
      <c r="CZ33" t="e">
        <f>AND(STOCK!#REF!,"AAAAAH4eG2c=")</f>
        <v>#REF!</v>
      </c>
      <c r="DA33" t="e">
        <f>AND(STOCK!#REF!,"AAAAAH4eG2g=")</f>
        <v>#REF!</v>
      </c>
      <c r="DB33" t="e">
        <f>AND(STOCK!#REF!,"AAAAAH4eG2k=")</f>
        <v>#REF!</v>
      </c>
      <c r="DC33">
        <f>IF(STOCK!5:5,"AAAAAH4eG2o=",0)</f>
        <v>0</v>
      </c>
      <c r="DD33" t="e">
        <f>AND(STOCK!B5,"AAAAAH4eG2s=")</f>
        <v>#VALUE!</v>
      </c>
      <c r="DE33" t="e">
        <f>AND(STOCK!C5,"AAAAAH4eG2w=")</f>
        <v>#VALUE!</v>
      </c>
      <c r="DF33" t="e">
        <f>AND(STOCK!D5,"AAAAAH4eG20=")</f>
        <v>#VALUE!</v>
      </c>
      <c r="DG33" t="e">
        <f>AND(STOCK!E5,"AAAAAH4eG24=")</f>
        <v>#VALUE!</v>
      </c>
      <c r="DH33" t="e">
        <f>AND(STOCK!#REF!,"AAAAAH4eG28=")</f>
        <v>#REF!</v>
      </c>
      <c r="DI33" t="e">
        <f>AND(STOCK!#REF!,"AAAAAH4eG3A=")</f>
        <v>#REF!</v>
      </c>
      <c r="DJ33" t="e">
        <f>AND(STOCK!#REF!,"AAAAAH4eG3E=")</f>
        <v>#REF!</v>
      </c>
      <c r="DK33" t="e">
        <f>AND(STOCK!#REF!,"AAAAAH4eG3I=")</f>
        <v>#REF!</v>
      </c>
      <c r="DL33" t="e">
        <f>AND(STOCK!#REF!,"AAAAAH4eG3M=")</f>
        <v>#REF!</v>
      </c>
      <c r="DM33" t="e">
        <f>AND(STOCK!#REF!,"AAAAAH4eG3Q=")</f>
        <v>#REF!</v>
      </c>
      <c r="DN33">
        <f>IF(STOCK!6:6,"AAAAAH4eG3U=",0)</f>
        <v>0</v>
      </c>
      <c r="DO33" t="e">
        <f>AND(STOCK!B6,"AAAAAH4eG3Y=")</f>
        <v>#VALUE!</v>
      </c>
      <c r="DP33" t="e">
        <f>AND(STOCK!C6,"AAAAAH4eG3c=")</f>
        <v>#VALUE!</v>
      </c>
      <c r="DQ33" t="e">
        <f>AND(STOCK!D6,"AAAAAH4eG3g=")</f>
        <v>#VALUE!</v>
      </c>
      <c r="DR33" t="e">
        <f>AND(STOCK!E6,"AAAAAH4eG3k=")</f>
        <v>#VALUE!</v>
      </c>
      <c r="DS33" t="e">
        <f>AND(STOCK!#REF!,"AAAAAH4eG3o=")</f>
        <v>#REF!</v>
      </c>
      <c r="DT33" t="e">
        <f>AND(STOCK!#REF!,"AAAAAH4eG3s=")</f>
        <v>#REF!</v>
      </c>
      <c r="DU33" t="e">
        <f>AND(STOCK!#REF!,"AAAAAH4eG3w=")</f>
        <v>#REF!</v>
      </c>
      <c r="DV33" t="e">
        <f>AND(STOCK!#REF!,"AAAAAH4eG30=")</f>
        <v>#REF!</v>
      </c>
      <c r="DW33" t="e">
        <f>AND(STOCK!#REF!,"AAAAAH4eG34=")</f>
        <v>#REF!</v>
      </c>
      <c r="DX33" t="e">
        <f>AND(STOCK!#REF!,"AAAAAH4eG38=")</f>
        <v>#REF!</v>
      </c>
      <c r="DY33">
        <f>IF(STOCK!7:7,"AAAAAH4eG4A=",0)</f>
        <v>0</v>
      </c>
      <c r="DZ33" t="e">
        <f>AND(STOCK!B7,"AAAAAH4eG4E=")</f>
        <v>#VALUE!</v>
      </c>
      <c r="EA33" t="e">
        <f>AND(STOCK!C7,"AAAAAH4eG4I=")</f>
        <v>#VALUE!</v>
      </c>
      <c r="EB33" t="e">
        <f>AND(STOCK!D7,"AAAAAH4eG4M=")</f>
        <v>#VALUE!</v>
      </c>
      <c r="EC33" t="e">
        <f>AND(STOCK!E7,"AAAAAH4eG4Q=")</f>
        <v>#VALUE!</v>
      </c>
      <c r="ED33" t="e">
        <f>AND(STOCK!#REF!,"AAAAAH4eG4U=")</f>
        <v>#REF!</v>
      </c>
      <c r="EE33" t="e">
        <f>AND(STOCK!#REF!,"AAAAAH4eG4Y=")</f>
        <v>#REF!</v>
      </c>
      <c r="EF33" t="e">
        <f>AND(STOCK!#REF!,"AAAAAH4eG4c=")</f>
        <v>#REF!</v>
      </c>
      <c r="EG33" t="e">
        <f>AND(STOCK!#REF!,"AAAAAH4eG4g=")</f>
        <v>#REF!</v>
      </c>
      <c r="EH33" t="e">
        <f>AND(STOCK!#REF!,"AAAAAH4eG4k=")</f>
        <v>#REF!</v>
      </c>
      <c r="EI33" t="e">
        <f>AND(STOCK!#REF!,"AAAAAH4eG4o=")</f>
        <v>#REF!</v>
      </c>
      <c r="EJ33">
        <f>IF(STOCK!8:8,"AAAAAH4eG4s=",0)</f>
        <v>0</v>
      </c>
      <c r="EK33" t="e">
        <f>AND(STOCK!B8,"AAAAAH4eG4w=")</f>
        <v>#VALUE!</v>
      </c>
      <c r="EL33" t="e">
        <f>AND(STOCK!C8,"AAAAAH4eG40=")</f>
        <v>#VALUE!</v>
      </c>
      <c r="EM33" t="e">
        <f>AND(STOCK!D8,"AAAAAH4eG44=")</f>
        <v>#VALUE!</v>
      </c>
      <c r="EN33" t="e">
        <f>AND(STOCK!E8,"AAAAAH4eG48=")</f>
        <v>#VALUE!</v>
      </c>
      <c r="EO33" t="e">
        <f>AND(STOCK!#REF!,"AAAAAH4eG5A=")</f>
        <v>#REF!</v>
      </c>
      <c r="EP33" t="e">
        <f>AND(STOCK!#REF!,"AAAAAH4eG5E=")</f>
        <v>#REF!</v>
      </c>
      <c r="EQ33" t="e">
        <f>AND(STOCK!#REF!,"AAAAAH4eG5I=")</f>
        <v>#REF!</v>
      </c>
      <c r="ER33" t="e">
        <f>AND(STOCK!#REF!,"AAAAAH4eG5M=")</f>
        <v>#REF!</v>
      </c>
      <c r="ES33" t="e">
        <f>AND(STOCK!#REF!,"AAAAAH4eG5Q=")</f>
        <v>#REF!</v>
      </c>
      <c r="ET33" t="e">
        <f>AND(STOCK!#REF!,"AAAAAH4eG5U=")</f>
        <v>#REF!</v>
      </c>
      <c r="EU33">
        <f>IF(STOCK!9:9,"AAAAAH4eG5Y=",0)</f>
        <v>0</v>
      </c>
      <c r="EV33" t="e">
        <f>AND(STOCK!C9,"AAAAAH4eG5c=")</f>
        <v>#VALUE!</v>
      </c>
      <c r="EW33" t="e">
        <f>AND(STOCK!D9,"AAAAAH4eG5g=")</f>
        <v>#VALUE!</v>
      </c>
      <c r="EX33" t="e">
        <f>AND(STOCK!E9,"AAAAAH4eG5k=")</f>
        <v>#VALUE!</v>
      </c>
      <c r="EY33" t="e">
        <f>AND(STOCK!F9,"AAAAAH4eG5o=")</f>
        <v>#VALUE!</v>
      </c>
      <c r="EZ33" t="e">
        <f>AND(STOCK!#REF!,"AAAAAH4eG5s=")</f>
        <v>#REF!</v>
      </c>
      <c r="FA33" t="e">
        <f>AND(STOCK!#REF!,"AAAAAH4eG5w=")</f>
        <v>#REF!</v>
      </c>
      <c r="FB33" t="e">
        <f>AND(STOCK!#REF!,"AAAAAH4eG50=")</f>
        <v>#REF!</v>
      </c>
      <c r="FC33" t="e">
        <f>AND(STOCK!#REF!,"AAAAAH4eG54=")</f>
        <v>#REF!</v>
      </c>
      <c r="FD33" t="e">
        <f>AND(STOCK!#REF!,"AAAAAH4eG58=")</f>
        <v>#REF!</v>
      </c>
      <c r="FE33" t="e">
        <f>AND(STOCK!#REF!,"AAAAAH4eG6A=")</f>
        <v>#REF!</v>
      </c>
      <c r="FF33">
        <f>IF(STOCK!10:10,"AAAAAH4eG6E=",0)</f>
        <v>0</v>
      </c>
      <c r="FG33" t="e">
        <f>AND(STOCK!C10,"AAAAAH4eG6I=")</f>
        <v>#VALUE!</v>
      </c>
      <c r="FH33" t="e">
        <f>AND(STOCK!E10,"AAAAAH4eG6M=")</f>
        <v>#VALUE!</v>
      </c>
      <c r="FI33" t="e">
        <f>AND(STOCK!F10,"AAAAAH4eG6Q=")</f>
        <v>#VALUE!</v>
      </c>
      <c r="FJ33" t="e">
        <f>AND(STOCK!#REF!,"AAAAAH4eG6U=")</f>
        <v>#REF!</v>
      </c>
      <c r="FK33" t="e">
        <f>AND(STOCK!#REF!,"AAAAAH4eG6Y=")</f>
        <v>#REF!</v>
      </c>
      <c r="FL33" t="e">
        <f>AND(STOCK!#REF!,"AAAAAH4eG6c=")</f>
        <v>#REF!</v>
      </c>
      <c r="FM33" t="e">
        <f>AND(STOCK!#REF!,"AAAAAH4eG6g=")</f>
        <v>#REF!</v>
      </c>
      <c r="FN33" t="e">
        <f>AND(STOCK!#REF!,"AAAAAH4eG6k=")</f>
        <v>#REF!</v>
      </c>
      <c r="FO33" t="e">
        <f>AND(STOCK!#REF!,"AAAAAH4eG6o=")</f>
        <v>#REF!</v>
      </c>
      <c r="FP33" t="e">
        <f>AND(STOCK!#REF!,"AAAAAH4eG6s=")</f>
        <v>#REF!</v>
      </c>
      <c r="FQ33">
        <f>IF(STOCK!11:11,"AAAAAH4eG6w=",0)</f>
        <v>0</v>
      </c>
      <c r="FR33" t="e">
        <f>AND(STOCK!C11,"AAAAAH4eG60=")</f>
        <v>#VALUE!</v>
      </c>
      <c r="FS33" t="e">
        <f>AND(STOCK!D11,"AAAAAH4eG64=")</f>
        <v>#VALUE!</v>
      </c>
      <c r="FT33" t="e">
        <f>AND(STOCK!E11,"AAAAAH4eG68=")</f>
        <v>#VALUE!</v>
      </c>
      <c r="FU33" t="e">
        <f>AND(STOCK!F11,"AAAAAH4eG7A=")</f>
        <v>#VALUE!</v>
      </c>
      <c r="FV33" t="e">
        <f>AND(STOCK!#REF!,"AAAAAH4eG7E=")</f>
        <v>#REF!</v>
      </c>
      <c r="FW33" t="e">
        <f>AND(STOCK!#REF!,"AAAAAH4eG7I=")</f>
        <v>#REF!</v>
      </c>
      <c r="FX33" t="e">
        <f>AND(STOCK!#REF!,"AAAAAH4eG7M=")</f>
        <v>#REF!</v>
      </c>
      <c r="FY33" t="e">
        <f>AND(STOCK!#REF!,"AAAAAH4eG7Q=")</f>
        <v>#REF!</v>
      </c>
      <c r="FZ33" t="e">
        <f>AND(STOCK!#REF!,"AAAAAH4eG7U=")</f>
        <v>#REF!</v>
      </c>
      <c r="GA33" t="e">
        <f>AND(STOCK!#REF!,"AAAAAH4eG7Y=")</f>
        <v>#REF!</v>
      </c>
      <c r="GB33">
        <f>IF(STOCK!12:12,"AAAAAH4eG7c=",0)</f>
        <v>0</v>
      </c>
      <c r="GC33" t="e">
        <f>AND(STOCK!C12,"AAAAAH4eG7g=")</f>
        <v>#VALUE!</v>
      </c>
      <c r="GD33" t="e">
        <f>AND(STOCK!D12,"AAAAAH4eG7k=")</f>
        <v>#VALUE!</v>
      </c>
      <c r="GE33" t="e">
        <f>AND(STOCK!E12,"AAAAAH4eG7o=")</f>
        <v>#VALUE!</v>
      </c>
      <c r="GF33" t="e">
        <f>AND(STOCK!F12,"AAAAAH4eG7s=")</f>
        <v>#VALUE!</v>
      </c>
      <c r="GG33" t="e">
        <f>AND(STOCK!#REF!,"AAAAAH4eG7w=")</f>
        <v>#REF!</v>
      </c>
      <c r="GH33" t="e">
        <f>AND(STOCK!#REF!,"AAAAAH4eG70=")</f>
        <v>#REF!</v>
      </c>
      <c r="GI33" t="e">
        <f>AND(STOCK!#REF!,"AAAAAH4eG74=")</f>
        <v>#REF!</v>
      </c>
      <c r="GJ33" t="e">
        <f>AND(STOCK!#REF!,"AAAAAH4eG78=")</f>
        <v>#REF!</v>
      </c>
      <c r="GK33" t="e">
        <f>AND(STOCK!#REF!,"AAAAAH4eG8A=")</f>
        <v>#REF!</v>
      </c>
      <c r="GL33" t="e">
        <f>AND(STOCK!#REF!,"AAAAAH4eG8E=")</f>
        <v>#REF!</v>
      </c>
      <c r="GM33">
        <f>IF(STOCK!13:13,"AAAAAH4eG8I=",0)</f>
        <v>0</v>
      </c>
      <c r="GN33" t="e">
        <f>AND(STOCK!C13,"AAAAAH4eG8M=")</f>
        <v>#VALUE!</v>
      </c>
      <c r="GO33" t="e">
        <f>AND(STOCK!D13,"AAAAAH4eG8Q=")</f>
        <v>#VALUE!</v>
      </c>
      <c r="GP33" t="e">
        <f>AND(STOCK!E13,"AAAAAH4eG8U=")</f>
        <v>#VALUE!</v>
      </c>
      <c r="GQ33" t="e">
        <f>AND(STOCK!F13,"AAAAAH4eG8Y=")</f>
        <v>#VALUE!</v>
      </c>
      <c r="GR33" t="e">
        <f>AND(STOCK!#REF!,"AAAAAH4eG8c=")</f>
        <v>#REF!</v>
      </c>
      <c r="GS33" t="e">
        <f>AND(STOCK!#REF!,"AAAAAH4eG8g=")</f>
        <v>#REF!</v>
      </c>
      <c r="GT33" t="e">
        <f>AND(STOCK!#REF!,"AAAAAH4eG8k=")</f>
        <v>#REF!</v>
      </c>
      <c r="GU33" t="e">
        <f>AND(STOCK!#REF!,"AAAAAH4eG8o=")</f>
        <v>#REF!</v>
      </c>
      <c r="GV33" t="e">
        <f>AND(STOCK!#REF!,"AAAAAH4eG8s=")</f>
        <v>#REF!</v>
      </c>
      <c r="GW33" t="e">
        <f>AND(STOCK!#REF!,"AAAAAH4eG8w=")</f>
        <v>#REF!</v>
      </c>
      <c r="GX33">
        <f>IF(STOCK!14:14,"AAAAAH4eG80=",0)</f>
        <v>0</v>
      </c>
      <c r="GY33" t="e">
        <f>AND(STOCK!#REF!,"AAAAAH4eG84=")</f>
        <v>#REF!</v>
      </c>
      <c r="GZ33" t="e">
        <f>AND(STOCK!D14,"AAAAAH4eG88=")</f>
        <v>#VALUE!</v>
      </c>
      <c r="HA33" t="e">
        <f>AND(STOCK!E14,"AAAAAH4eG9A=")</f>
        <v>#VALUE!</v>
      </c>
      <c r="HB33" t="e">
        <f>AND(STOCK!F14,"AAAAAH4eG9E=")</f>
        <v>#VALUE!</v>
      </c>
      <c r="HC33" t="e">
        <f>AND(STOCK!#REF!,"AAAAAH4eG9I=")</f>
        <v>#REF!</v>
      </c>
      <c r="HD33" t="e">
        <f>AND(STOCK!#REF!,"AAAAAH4eG9M=")</f>
        <v>#REF!</v>
      </c>
      <c r="HE33" t="e">
        <f>AND(STOCK!#REF!,"AAAAAH4eG9Q=")</f>
        <v>#REF!</v>
      </c>
      <c r="HF33" t="e">
        <f>AND(STOCK!#REF!,"AAAAAH4eG9U=")</f>
        <v>#REF!</v>
      </c>
      <c r="HG33" t="e">
        <f>AND(STOCK!#REF!,"AAAAAH4eG9Y=")</f>
        <v>#REF!</v>
      </c>
      <c r="HH33" t="e">
        <f>AND(STOCK!#REF!,"AAAAAH4eG9c=")</f>
        <v>#REF!</v>
      </c>
      <c r="HI33">
        <f>IF(STOCK!15:15,"AAAAAH4eG9g=",0)</f>
        <v>0</v>
      </c>
      <c r="HJ33" t="e">
        <f>AND(STOCK!C14,"AAAAAH4eG9k=")</f>
        <v>#VALUE!</v>
      </c>
      <c r="HK33" t="e">
        <f>AND(STOCK!D15,"AAAAAH4eG9o=")</f>
        <v>#VALUE!</v>
      </c>
      <c r="HL33" t="e">
        <f>AND(STOCK!E15,"AAAAAH4eG9s=")</f>
        <v>#VALUE!</v>
      </c>
      <c r="HM33" t="e">
        <f>AND(STOCK!F15,"AAAAAH4eG9w=")</f>
        <v>#VALUE!</v>
      </c>
      <c r="HN33" t="e">
        <f>AND(STOCK!#REF!,"AAAAAH4eG90=")</f>
        <v>#REF!</v>
      </c>
      <c r="HO33" t="e">
        <f>AND(STOCK!#REF!,"AAAAAH4eG94=")</f>
        <v>#REF!</v>
      </c>
      <c r="HP33" t="e">
        <f>AND(STOCK!#REF!,"AAAAAH4eG98=")</f>
        <v>#REF!</v>
      </c>
      <c r="HQ33" t="e">
        <f>AND(STOCK!#REF!,"AAAAAH4eG+A=")</f>
        <v>#REF!</v>
      </c>
      <c r="HR33" t="e">
        <f>AND(STOCK!#REF!,"AAAAAH4eG+E=")</f>
        <v>#REF!</v>
      </c>
      <c r="HS33" t="e">
        <f>AND(STOCK!#REF!,"AAAAAH4eG+I=")</f>
        <v>#REF!</v>
      </c>
      <c r="HT33">
        <f>IF(STOCK!16:16,"AAAAAH4eG+M=",0)</f>
        <v>0</v>
      </c>
      <c r="HU33" t="e">
        <f>AND(STOCK!C15,"AAAAAH4eG+Q=")</f>
        <v>#VALUE!</v>
      </c>
      <c r="HV33" t="e">
        <f>AND(STOCK!D16,"AAAAAH4eG+U=")</f>
        <v>#VALUE!</v>
      </c>
      <c r="HW33" t="e">
        <f>AND(STOCK!E16,"AAAAAH4eG+Y=")</f>
        <v>#VALUE!</v>
      </c>
      <c r="HX33" t="e">
        <f>AND(STOCK!F16,"AAAAAH4eG+c=")</f>
        <v>#VALUE!</v>
      </c>
      <c r="HY33" t="e">
        <f>AND(STOCK!#REF!,"AAAAAH4eG+g=")</f>
        <v>#REF!</v>
      </c>
      <c r="HZ33" t="e">
        <f>AND(STOCK!#REF!,"AAAAAH4eG+k=")</f>
        <v>#REF!</v>
      </c>
      <c r="IA33" t="e">
        <f>AND(STOCK!#REF!,"AAAAAH4eG+o=")</f>
        <v>#REF!</v>
      </c>
      <c r="IB33" t="e">
        <f>AND(STOCK!#REF!,"AAAAAH4eG+s=")</f>
        <v>#REF!</v>
      </c>
      <c r="IC33" t="e">
        <f>AND(STOCK!#REF!,"AAAAAH4eG+w=")</f>
        <v>#REF!</v>
      </c>
      <c r="ID33" t="e">
        <f>AND(STOCK!#REF!,"AAAAAH4eG+0=")</f>
        <v>#REF!</v>
      </c>
      <c r="IE33">
        <f>IF(STOCK!17:17,"AAAAAH4eG+4=",0)</f>
        <v>0</v>
      </c>
      <c r="IF33" t="e">
        <f>AND(STOCK!C16,"AAAAAH4eG+8=")</f>
        <v>#VALUE!</v>
      </c>
      <c r="IG33" t="e">
        <f>AND(STOCK!D17,"AAAAAH4eG/A=")</f>
        <v>#VALUE!</v>
      </c>
      <c r="IH33" t="e">
        <f>AND(STOCK!E17,"AAAAAH4eG/E=")</f>
        <v>#VALUE!</v>
      </c>
      <c r="II33" t="e">
        <f>AND(STOCK!F17,"AAAAAH4eG/I=")</f>
        <v>#VALUE!</v>
      </c>
      <c r="IJ33" t="e">
        <f>AND(STOCK!#REF!,"AAAAAH4eG/M=")</f>
        <v>#REF!</v>
      </c>
      <c r="IK33" t="e">
        <f>AND(STOCK!#REF!,"AAAAAH4eG/Q=")</f>
        <v>#REF!</v>
      </c>
      <c r="IL33" t="e">
        <f>AND(STOCK!#REF!,"AAAAAH4eG/U=")</f>
        <v>#REF!</v>
      </c>
      <c r="IM33" t="e">
        <f>AND(STOCK!#REF!,"AAAAAH4eG/Y=")</f>
        <v>#REF!</v>
      </c>
      <c r="IN33" t="e">
        <f>AND(STOCK!#REF!,"AAAAAH4eG/c=")</f>
        <v>#REF!</v>
      </c>
      <c r="IO33" t="e">
        <f>AND(STOCK!#REF!,"AAAAAH4eG/g=")</f>
        <v>#REF!</v>
      </c>
      <c r="IP33">
        <f>IF(STOCK!18:18,"AAAAAH4eG/k=",0)</f>
        <v>0</v>
      </c>
      <c r="IQ33" t="e">
        <f>AND(STOCK!C17,"AAAAAH4eG/o=")</f>
        <v>#VALUE!</v>
      </c>
      <c r="IR33" t="e">
        <f>AND(STOCK!D18,"AAAAAH4eG/s=")</f>
        <v>#VALUE!</v>
      </c>
      <c r="IS33" t="e">
        <f>AND(STOCK!E18,"AAAAAH4eG/w=")</f>
        <v>#VALUE!</v>
      </c>
      <c r="IT33" t="e">
        <f>AND(STOCK!F18,"AAAAAH4eG/0=")</f>
        <v>#VALUE!</v>
      </c>
      <c r="IU33" t="e">
        <f>AND(STOCK!#REF!,"AAAAAH4eG/4=")</f>
        <v>#REF!</v>
      </c>
      <c r="IV33" t="e">
        <f>AND(STOCK!#REF!,"AAAAAH4eG/8=")</f>
        <v>#REF!</v>
      </c>
    </row>
    <row r="34" spans="1:256" x14ac:dyDescent="0.2">
      <c r="A34" t="e">
        <f>AND(STOCK!#REF!,"AAAAAHHvnwA=")</f>
        <v>#REF!</v>
      </c>
      <c r="B34" t="e">
        <f>AND(STOCK!#REF!,"AAAAAHHvnwE=")</f>
        <v>#REF!</v>
      </c>
      <c r="C34" t="e">
        <f>AND(STOCK!#REF!,"AAAAAHHvnwI=")</f>
        <v>#REF!</v>
      </c>
      <c r="D34" t="e">
        <f>AND(STOCK!#REF!,"AAAAAHHvnwM=")</f>
        <v>#REF!</v>
      </c>
      <c r="E34">
        <f>IF(STOCK!20:20,"AAAAAHHvnwQ=",0)</f>
        <v>0</v>
      </c>
      <c r="F34" t="e">
        <f>AND(STOCK!C19,"AAAAAHHvnwU=")</f>
        <v>#VALUE!</v>
      </c>
      <c r="G34" t="e">
        <f>AND(STOCK!D20,"AAAAAHHvnwY=")</f>
        <v>#VALUE!</v>
      </c>
      <c r="H34" t="e">
        <f>AND(STOCK!E20,"AAAAAHHvnwc=")</f>
        <v>#VALUE!</v>
      </c>
      <c r="I34" t="e">
        <f>AND(STOCK!F20,"AAAAAHHvnwg=")</f>
        <v>#VALUE!</v>
      </c>
      <c r="J34" t="e">
        <f>AND(STOCK!#REF!,"AAAAAHHvnwk=")</f>
        <v>#REF!</v>
      </c>
      <c r="K34" t="e">
        <f>AND(STOCK!#REF!,"AAAAAHHvnwo=")</f>
        <v>#REF!</v>
      </c>
      <c r="L34" t="e">
        <f>AND(STOCK!#REF!,"AAAAAHHvnws=")</f>
        <v>#REF!</v>
      </c>
      <c r="M34" t="e">
        <f>AND(STOCK!#REF!,"AAAAAHHvnww=")</f>
        <v>#REF!</v>
      </c>
      <c r="N34" t="e">
        <f>AND(STOCK!#REF!,"AAAAAHHvnw0=")</f>
        <v>#REF!</v>
      </c>
      <c r="O34" t="e">
        <f>AND(STOCK!#REF!,"AAAAAHHvnw4=")</f>
        <v>#REF!</v>
      </c>
      <c r="P34">
        <f>IF(STOCK!21:21,"AAAAAHHvnw8=",0)</f>
        <v>0</v>
      </c>
      <c r="Q34" t="e">
        <f>AND(STOCK!C20,"AAAAAHHvnxA=")</f>
        <v>#VALUE!</v>
      </c>
      <c r="R34" t="e">
        <f>AND(STOCK!D21,"AAAAAHHvnxE=")</f>
        <v>#VALUE!</v>
      </c>
      <c r="S34" t="e">
        <f>AND(STOCK!E21,"AAAAAHHvnxI=")</f>
        <v>#VALUE!</v>
      </c>
      <c r="T34" t="e">
        <f>AND(STOCK!F21,"AAAAAHHvnxM=")</f>
        <v>#VALUE!</v>
      </c>
      <c r="U34" t="e">
        <f>AND(STOCK!#REF!,"AAAAAHHvnxQ=")</f>
        <v>#REF!</v>
      </c>
      <c r="V34" t="e">
        <f>AND(STOCK!#REF!,"AAAAAHHvnxU=")</f>
        <v>#REF!</v>
      </c>
      <c r="W34" t="e">
        <f>AND(STOCK!#REF!,"AAAAAHHvnxY=")</f>
        <v>#REF!</v>
      </c>
      <c r="X34" t="e">
        <f>AND(STOCK!#REF!,"AAAAAHHvnxc=")</f>
        <v>#REF!</v>
      </c>
      <c r="Y34" t="e">
        <f>AND(STOCK!#REF!,"AAAAAHHvnxg=")</f>
        <v>#REF!</v>
      </c>
      <c r="Z34" t="e">
        <f>AND(STOCK!#REF!,"AAAAAHHvnxk=")</f>
        <v>#REF!</v>
      </c>
      <c r="AA34">
        <f>IF(STOCK!22:22,"AAAAAHHvnxo=",0)</f>
        <v>0</v>
      </c>
      <c r="AB34" t="e">
        <f>AND(STOCK!C21,"AAAAAHHvnxs=")</f>
        <v>#VALUE!</v>
      </c>
      <c r="AC34" t="e">
        <f>AND(STOCK!D22,"AAAAAHHvnxw=")</f>
        <v>#VALUE!</v>
      </c>
      <c r="AD34" t="e">
        <f>AND(STOCK!E22,"AAAAAHHvnx0=")</f>
        <v>#VALUE!</v>
      </c>
      <c r="AE34" t="e">
        <f>AND(STOCK!F22,"AAAAAHHvnx4=")</f>
        <v>#VALUE!</v>
      </c>
      <c r="AF34" t="e">
        <f>AND(STOCK!#REF!,"AAAAAHHvnx8=")</f>
        <v>#REF!</v>
      </c>
      <c r="AG34" t="e">
        <f>AND(STOCK!#REF!,"AAAAAHHvnyA=")</f>
        <v>#REF!</v>
      </c>
      <c r="AH34" t="e">
        <f>AND(STOCK!#REF!,"AAAAAHHvnyE=")</f>
        <v>#REF!</v>
      </c>
      <c r="AI34" t="e">
        <f>AND(STOCK!#REF!,"AAAAAHHvnyI=")</f>
        <v>#REF!</v>
      </c>
      <c r="AJ34" t="e">
        <f>AND(STOCK!#REF!,"AAAAAHHvnyM=")</f>
        <v>#REF!</v>
      </c>
      <c r="AK34" t="e">
        <f>AND(STOCK!#REF!,"AAAAAHHvnyQ=")</f>
        <v>#REF!</v>
      </c>
      <c r="AL34">
        <f>IF(STOCK!23:23,"AAAAAHHvnyU=",0)</f>
        <v>0</v>
      </c>
      <c r="AM34" t="e">
        <f>AND(STOCK!C22,"AAAAAHHvnyY=")</f>
        <v>#VALUE!</v>
      </c>
      <c r="AN34" t="e">
        <f>AND(STOCK!D23,"AAAAAHHvnyc=")</f>
        <v>#VALUE!</v>
      </c>
      <c r="AO34" t="e">
        <f>AND(STOCK!E23,"AAAAAHHvnyg=")</f>
        <v>#VALUE!</v>
      </c>
      <c r="AP34" t="e">
        <f>AND(STOCK!F23,"AAAAAHHvnyk=")</f>
        <v>#VALUE!</v>
      </c>
      <c r="AQ34" t="e">
        <f>AND(STOCK!#REF!,"AAAAAHHvnyo=")</f>
        <v>#REF!</v>
      </c>
      <c r="AR34" t="e">
        <f>AND(STOCK!#REF!,"AAAAAHHvnys=")</f>
        <v>#REF!</v>
      </c>
      <c r="AS34" t="e">
        <f>AND(STOCK!#REF!,"AAAAAHHvnyw=")</f>
        <v>#REF!</v>
      </c>
      <c r="AT34" t="e">
        <f>AND(STOCK!#REF!,"AAAAAHHvny0=")</f>
        <v>#REF!</v>
      </c>
      <c r="AU34" t="e">
        <f>AND(STOCK!#REF!,"AAAAAHHvny4=")</f>
        <v>#REF!</v>
      </c>
      <c r="AV34" t="e">
        <f>AND(STOCK!#REF!,"AAAAAHHvny8=")</f>
        <v>#REF!</v>
      </c>
      <c r="AW34">
        <f>IF(STOCK!24:24,"AAAAAHHvnzA=",0)</f>
        <v>0</v>
      </c>
      <c r="AX34" t="e">
        <f>AND(STOCK!C23,"AAAAAHHvnzE=")</f>
        <v>#VALUE!</v>
      </c>
      <c r="AY34" t="e">
        <f>AND(STOCK!D24,"AAAAAHHvnzI=")</f>
        <v>#VALUE!</v>
      </c>
      <c r="AZ34" t="e">
        <f>AND(STOCK!E24,"AAAAAHHvnzM=")</f>
        <v>#VALUE!</v>
      </c>
      <c r="BA34" t="e">
        <f>AND(STOCK!F24,"AAAAAHHvnzQ=")</f>
        <v>#VALUE!</v>
      </c>
      <c r="BB34" t="e">
        <f>AND(STOCK!#REF!,"AAAAAHHvnzU=")</f>
        <v>#REF!</v>
      </c>
      <c r="BC34" t="e">
        <f>AND(STOCK!#REF!,"AAAAAHHvnzY=")</f>
        <v>#REF!</v>
      </c>
      <c r="BD34" t="e">
        <f>AND(STOCK!#REF!,"AAAAAHHvnzc=")</f>
        <v>#REF!</v>
      </c>
      <c r="BE34" t="e">
        <f>AND(STOCK!#REF!,"AAAAAHHvnzg=")</f>
        <v>#REF!</v>
      </c>
      <c r="BF34" t="e">
        <f>AND(STOCK!#REF!,"AAAAAHHvnzk=")</f>
        <v>#REF!</v>
      </c>
      <c r="BG34" t="e">
        <f>AND(STOCK!#REF!,"AAAAAHHvnzo=")</f>
        <v>#REF!</v>
      </c>
      <c r="BH34">
        <f>IF(STOCK!25:25,"AAAAAHHvnzs=",0)</f>
        <v>0</v>
      </c>
      <c r="BI34" t="e">
        <f>AND(STOCK!C24,"AAAAAHHvnzw=")</f>
        <v>#VALUE!</v>
      </c>
      <c r="BJ34" t="e">
        <f>AND(STOCK!D25,"AAAAAHHvnz0=")</f>
        <v>#VALUE!</v>
      </c>
      <c r="BK34" t="e">
        <f>AND(STOCK!E25,"AAAAAHHvnz4=")</f>
        <v>#VALUE!</v>
      </c>
      <c r="BL34" t="e">
        <f>AND(STOCK!F25,"AAAAAHHvnz8=")</f>
        <v>#VALUE!</v>
      </c>
      <c r="BM34" t="e">
        <f>AND(STOCK!#REF!,"AAAAAHHvn0A=")</f>
        <v>#REF!</v>
      </c>
      <c r="BN34" t="e">
        <f>AND(STOCK!#REF!,"AAAAAHHvn0E=")</f>
        <v>#REF!</v>
      </c>
      <c r="BO34" t="e">
        <f>AND(STOCK!#REF!,"AAAAAHHvn0I=")</f>
        <v>#REF!</v>
      </c>
      <c r="BP34" t="e">
        <f>AND(STOCK!#REF!,"AAAAAHHvn0M=")</f>
        <v>#REF!</v>
      </c>
      <c r="BQ34" t="e">
        <f>AND(STOCK!#REF!,"AAAAAHHvn0Q=")</f>
        <v>#REF!</v>
      </c>
      <c r="BR34" t="e">
        <f>AND(STOCK!#REF!,"AAAAAHHvn0U=")</f>
        <v>#REF!</v>
      </c>
      <c r="BS34">
        <f>IF(STOCK!26:26,"AAAAAHHvn0Y=",0)</f>
        <v>0</v>
      </c>
      <c r="BT34" t="e">
        <f>AND(STOCK!C25,"AAAAAHHvn0c=")</f>
        <v>#VALUE!</v>
      </c>
      <c r="BU34" t="e">
        <f>AND(STOCK!D26,"AAAAAHHvn0g=")</f>
        <v>#VALUE!</v>
      </c>
      <c r="BV34" t="e">
        <f>AND(STOCK!E26,"AAAAAHHvn0k=")</f>
        <v>#VALUE!</v>
      </c>
      <c r="BW34" t="e">
        <f>AND(STOCK!F26,"AAAAAHHvn0o=")</f>
        <v>#VALUE!</v>
      </c>
      <c r="BX34" t="e">
        <f>AND(STOCK!#REF!,"AAAAAHHvn0s=")</f>
        <v>#REF!</v>
      </c>
      <c r="BY34" t="e">
        <f>AND(STOCK!#REF!,"AAAAAHHvn0w=")</f>
        <v>#REF!</v>
      </c>
      <c r="BZ34" t="e">
        <f>AND(STOCK!#REF!,"AAAAAHHvn00=")</f>
        <v>#REF!</v>
      </c>
      <c r="CA34" t="e">
        <f>AND(STOCK!#REF!,"AAAAAHHvn04=")</f>
        <v>#REF!</v>
      </c>
      <c r="CB34" t="e">
        <f>AND(STOCK!#REF!,"AAAAAHHvn08=")</f>
        <v>#REF!</v>
      </c>
      <c r="CC34" t="e">
        <f>AND(STOCK!#REF!,"AAAAAHHvn1A=")</f>
        <v>#REF!</v>
      </c>
      <c r="CD34">
        <f>IF(STOCK!27:27,"AAAAAHHvn1E=",0)</f>
        <v>0</v>
      </c>
      <c r="CE34" t="e">
        <f>AND(STOCK!C26,"AAAAAHHvn1I=")</f>
        <v>#VALUE!</v>
      </c>
      <c r="CF34" t="e">
        <f>AND(STOCK!D27,"AAAAAHHvn1M=")</f>
        <v>#VALUE!</v>
      </c>
      <c r="CG34" t="e">
        <f>AND(STOCK!E27,"AAAAAHHvn1Q=")</f>
        <v>#VALUE!</v>
      </c>
      <c r="CH34" t="e">
        <f>AND(STOCK!F27,"AAAAAHHvn1U=")</f>
        <v>#VALUE!</v>
      </c>
      <c r="CI34" t="e">
        <f>AND(STOCK!#REF!,"AAAAAHHvn1Y=")</f>
        <v>#REF!</v>
      </c>
      <c r="CJ34" t="e">
        <f>AND(STOCK!#REF!,"AAAAAHHvn1c=")</f>
        <v>#REF!</v>
      </c>
      <c r="CK34" t="e">
        <f>AND(STOCK!#REF!,"AAAAAHHvn1g=")</f>
        <v>#REF!</v>
      </c>
      <c r="CL34" t="e">
        <f>AND(STOCK!#REF!,"AAAAAHHvn1k=")</f>
        <v>#REF!</v>
      </c>
      <c r="CM34" t="e">
        <f>AND(STOCK!#REF!,"AAAAAHHvn1o=")</f>
        <v>#REF!</v>
      </c>
      <c r="CN34" t="e">
        <f>AND(STOCK!#REF!,"AAAAAHHvn1s=")</f>
        <v>#REF!</v>
      </c>
      <c r="CO34">
        <f>IF(STOCK!28:28,"AAAAAHHvn1w=",0)</f>
        <v>0</v>
      </c>
      <c r="CP34" t="e">
        <f>AND(STOCK!C27,"AAAAAHHvn10=")</f>
        <v>#VALUE!</v>
      </c>
      <c r="CQ34" t="e">
        <f>AND(STOCK!D28,"AAAAAHHvn14=")</f>
        <v>#VALUE!</v>
      </c>
      <c r="CR34" t="e">
        <f>AND(STOCK!E28,"AAAAAHHvn18=")</f>
        <v>#VALUE!</v>
      </c>
      <c r="CS34" t="e">
        <f>AND(STOCK!F28,"AAAAAHHvn2A=")</f>
        <v>#VALUE!</v>
      </c>
      <c r="CT34" t="e">
        <f>AND(STOCK!#REF!,"AAAAAHHvn2E=")</f>
        <v>#REF!</v>
      </c>
      <c r="CU34" t="e">
        <f>AND(STOCK!#REF!,"AAAAAHHvn2I=")</f>
        <v>#REF!</v>
      </c>
      <c r="CV34" t="e">
        <f>AND(STOCK!#REF!,"AAAAAHHvn2M=")</f>
        <v>#REF!</v>
      </c>
      <c r="CW34" t="e">
        <f>AND(STOCK!#REF!,"AAAAAHHvn2Q=")</f>
        <v>#REF!</v>
      </c>
      <c r="CX34" t="e">
        <f>AND(STOCK!#REF!,"AAAAAHHvn2U=")</f>
        <v>#REF!</v>
      </c>
      <c r="CY34" t="e">
        <f>AND(STOCK!#REF!,"AAAAAHHvn2Y=")</f>
        <v>#REF!</v>
      </c>
      <c r="CZ34">
        <f>IF(STOCK!30:30,"AAAAAHHvn2c=",0)</f>
        <v>0</v>
      </c>
      <c r="DA34" t="e">
        <f>AND(STOCK!C29,"AAAAAHHvn2g=")</f>
        <v>#VALUE!</v>
      </c>
      <c r="DB34" t="e">
        <f>AND(STOCK!D30,"AAAAAHHvn2k=")</f>
        <v>#VALUE!</v>
      </c>
      <c r="DC34" t="e">
        <f>AND(STOCK!E30,"AAAAAHHvn2o=")</f>
        <v>#VALUE!</v>
      </c>
      <c r="DD34" t="e">
        <f>AND(STOCK!F30,"AAAAAHHvn2s=")</f>
        <v>#VALUE!</v>
      </c>
      <c r="DE34" t="e">
        <f>AND(STOCK!#REF!,"AAAAAHHvn2w=")</f>
        <v>#REF!</v>
      </c>
      <c r="DF34" t="e">
        <f>AND(STOCK!#REF!,"AAAAAHHvn20=")</f>
        <v>#REF!</v>
      </c>
      <c r="DG34" t="e">
        <f>AND(STOCK!#REF!,"AAAAAHHvn24=")</f>
        <v>#REF!</v>
      </c>
      <c r="DH34" t="e">
        <f>AND(STOCK!#REF!,"AAAAAHHvn28=")</f>
        <v>#REF!</v>
      </c>
      <c r="DI34" t="e">
        <f>AND(STOCK!#REF!,"AAAAAHHvn3A=")</f>
        <v>#REF!</v>
      </c>
      <c r="DJ34" t="e">
        <f>AND(STOCK!#REF!,"AAAAAHHvn3E=")</f>
        <v>#REF!</v>
      </c>
      <c r="DK34">
        <f>IF(STOCK!31:31,"AAAAAHHvn3I=",0)</f>
        <v>0</v>
      </c>
      <c r="DL34" t="e">
        <f>AND(STOCK!C30,"AAAAAHHvn3M=")</f>
        <v>#VALUE!</v>
      </c>
      <c r="DM34" t="e">
        <f>AND(STOCK!D31,"AAAAAHHvn3Q=")</f>
        <v>#VALUE!</v>
      </c>
      <c r="DN34" t="e">
        <f>AND(STOCK!E31,"AAAAAHHvn3U=")</f>
        <v>#VALUE!</v>
      </c>
      <c r="DO34" t="e">
        <f>AND(STOCK!F31,"AAAAAHHvn3Y=")</f>
        <v>#VALUE!</v>
      </c>
      <c r="DP34" t="e">
        <f>AND(STOCK!#REF!,"AAAAAHHvn3c=")</f>
        <v>#REF!</v>
      </c>
      <c r="DQ34" t="e">
        <f>AND(STOCK!#REF!,"AAAAAHHvn3g=")</f>
        <v>#REF!</v>
      </c>
      <c r="DR34" t="e">
        <f>AND(STOCK!#REF!,"AAAAAHHvn3k=")</f>
        <v>#REF!</v>
      </c>
      <c r="DS34" t="e">
        <f>AND(STOCK!#REF!,"AAAAAHHvn3o=")</f>
        <v>#REF!</v>
      </c>
      <c r="DT34" t="e">
        <f>AND(STOCK!#REF!,"AAAAAHHvn3s=")</f>
        <v>#REF!</v>
      </c>
      <c r="DU34" t="e">
        <f>AND(STOCK!#REF!,"AAAAAHHvn3w=")</f>
        <v>#REF!</v>
      </c>
      <c r="DV34">
        <f>IF(STOCK!32:32,"AAAAAHHvn30=",0)</f>
        <v>0</v>
      </c>
      <c r="DW34" t="e">
        <f>AND(STOCK!C31,"AAAAAHHvn34=")</f>
        <v>#VALUE!</v>
      </c>
      <c r="DX34" t="e">
        <f>AND(STOCK!D32,"AAAAAHHvn38=")</f>
        <v>#VALUE!</v>
      </c>
      <c r="DY34" t="e">
        <f>AND(STOCK!E32,"AAAAAHHvn4A=")</f>
        <v>#VALUE!</v>
      </c>
      <c r="DZ34" t="e">
        <f>AND(STOCK!F32,"AAAAAHHvn4E=")</f>
        <v>#VALUE!</v>
      </c>
      <c r="EA34" t="e">
        <f>AND(STOCK!#REF!,"AAAAAHHvn4I=")</f>
        <v>#REF!</v>
      </c>
      <c r="EB34" t="e">
        <f>AND(STOCK!#REF!,"AAAAAHHvn4M=")</f>
        <v>#REF!</v>
      </c>
      <c r="EC34" t="e">
        <f>AND(STOCK!#REF!,"AAAAAHHvn4Q=")</f>
        <v>#REF!</v>
      </c>
      <c r="ED34" t="e">
        <f>AND(STOCK!#REF!,"AAAAAHHvn4U=")</f>
        <v>#REF!</v>
      </c>
      <c r="EE34" t="e">
        <f>AND(STOCK!#REF!,"AAAAAHHvn4Y=")</f>
        <v>#REF!</v>
      </c>
      <c r="EF34" t="e">
        <f>AND(STOCK!#REF!,"AAAAAHHvn4c=")</f>
        <v>#REF!</v>
      </c>
      <c r="EG34">
        <f>IF(STOCK!33:33,"AAAAAHHvn4g=",0)</f>
        <v>0</v>
      </c>
      <c r="EH34" t="e">
        <f>AND(STOCK!#REF!,"AAAAAHHvn4k=")</f>
        <v>#REF!</v>
      </c>
      <c r="EI34" t="e">
        <f>AND(STOCK!#REF!,"AAAAAHHvn4o=")</f>
        <v>#REF!</v>
      </c>
      <c r="EJ34" t="e">
        <f>AND(STOCK!#REF!,"AAAAAHHvn4s=")</f>
        <v>#REF!</v>
      </c>
      <c r="EK34" t="e">
        <f>AND(STOCK!C32,"AAAAAHHvn4w=")</f>
        <v>#VALUE!</v>
      </c>
      <c r="EL34" t="e">
        <f>AND(STOCK!D33,"AAAAAHHvn40=")</f>
        <v>#VALUE!</v>
      </c>
      <c r="EM34" t="e">
        <f>AND(STOCK!E33,"AAAAAHHvn44=")</f>
        <v>#VALUE!</v>
      </c>
      <c r="EN34" t="e">
        <f>AND(STOCK!F33,"AAAAAHHvn48=")</f>
        <v>#VALUE!</v>
      </c>
      <c r="EO34" t="e">
        <f>AND(STOCK!#REF!,"AAAAAHHvn5A=")</f>
        <v>#REF!</v>
      </c>
      <c r="EP34" t="e">
        <f>AND(STOCK!#REF!,"AAAAAHHvn5E=")</f>
        <v>#REF!</v>
      </c>
      <c r="EQ34" t="e">
        <f>AND(STOCK!#REF!,"AAAAAHHvn5I=")</f>
        <v>#REF!</v>
      </c>
      <c r="ER34">
        <f>IF(STOCK!34:34,"AAAAAHHvn5M=",0)</f>
        <v>0</v>
      </c>
      <c r="ES34" t="e">
        <f>AND(STOCK!#REF!,"AAAAAHHvn5Q=")</f>
        <v>#REF!</v>
      </c>
      <c r="ET34" t="e">
        <f>AND(STOCK!#REF!,"AAAAAHHvn5U=")</f>
        <v>#REF!</v>
      </c>
      <c r="EU34" t="e">
        <f>AND(STOCK!#REF!,"AAAAAHHvn5Y=")</f>
        <v>#REF!</v>
      </c>
      <c r="EV34" t="e">
        <f>AND(STOCK!C33,"AAAAAHHvn5c=")</f>
        <v>#VALUE!</v>
      </c>
      <c r="EW34" t="e">
        <f>AND(STOCK!D34,"AAAAAHHvn5g=")</f>
        <v>#VALUE!</v>
      </c>
      <c r="EX34" t="e">
        <f>AND(STOCK!E34,"AAAAAHHvn5k=")</f>
        <v>#VALUE!</v>
      </c>
      <c r="EY34" t="e">
        <f>AND(STOCK!F34,"AAAAAHHvn5o=")</f>
        <v>#VALUE!</v>
      </c>
      <c r="EZ34" t="e">
        <f>AND(STOCK!#REF!,"AAAAAHHvn5s=")</f>
        <v>#REF!</v>
      </c>
      <c r="FA34" t="e">
        <f>AND(STOCK!#REF!,"AAAAAHHvn5w=")</f>
        <v>#REF!</v>
      </c>
      <c r="FB34" t="e">
        <f>AND(STOCK!#REF!,"AAAAAHHvn50=")</f>
        <v>#REF!</v>
      </c>
      <c r="FC34">
        <f>IF(STOCK!B:B,"AAAAAHHvn54=",0)</f>
        <v>0</v>
      </c>
      <c r="FD34">
        <f>IF(STOCK!C:C,"AAAAAHHvn58=",0)</f>
        <v>0</v>
      </c>
      <c r="FE34">
        <f>IF(STOCK!D:D,"AAAAAHHvn6A=",0)</f>
        <v>0</v>
      </c>
      <c r="FF34">
        <f>IF(STOCK!E:E,"AAAAAHHvn6E=",0)</f>
        <v>0</v>
      </c>
      <c r="FG34">
        <f>IF(STOCK!F:F,"AAAAAHHvn6I=",0)</f>
        <v>0</v>
      </c>
      <c r="FH34" t="e">
        <f>IF(STOCK!#REF!,"AAAAAHHvn6M=",0)</f>
        <v>#REF!</v>
      </c>
      <c r="FI34" t="e">
        <f>IF(STOCK!#REF!,"AAAAAHHvn6Q=",0)</f>
        <v>#REF!</v>
      </c>
      <c r="FJ34" t="e">
        <f>IF(STOCK!#REF!,"AAAAAHHvn6U=",0)</f>
        <v>#REF!</v>
      </c>
      <c r="FK34" t="e">
        <f>IF(STOCK!#REF!,"AAAAAHHvn6Y=",0)</f>
        <v>#REF!</v>
      </c>
      <c r="FL34" t="e">
        <f>IF(STOCK!#REF!,"AAAAAHHvn6c=",0)</f>
        <v>#REF!</v>
      </c>
      <c r="FM34" t="e">
        <f>IF(STOCK!#REF!,"AAAAAHHvn6g=",0)</f>
        <v>#REF!</v>
      </c>
      <c r="FN34" t="e">
        <f>IF(#REF!,"AAAAAHHvn6k=",0)</f>
        <v>#REF!</v>
      </c>
      <c r="FO34" t="e">
        <f>AND(#REF!,"AAAAAHHvn6o=")</f>
        <v>#REF!</v>
      </c>
      <c r="FP34" t="e">
        <f>AND(#REF!,"AAAAAHHvn6s=")</f>
        <v>#REF!</v>
      </c>
      <c r="FQ34" t="e">
        <f>AND(#REF!,"AAAAAHHvn6w=")</f>
        <v>#REF!</v>
      </c>
      <c r="FR34" t="e">
        <f>AND(#REF!,"AAAAAHHvn60=")</f>
        <v>#REF!</v>
      </c>
      <c r="FS34" t="e">
        <f>AND(#REF!,"AAAAAHHvn64=")</f>
        <v>#REF!</v>
      </c>
      <c r="FT34" t="e">
        <f>AND(#REF!,"AAAAAHHvn68=")</f>
        <v>#REF!</v>
      </c>
      <c r="FU34" t="e">
        <f>AND(#REF!,"AAAAAHHvn7A=")</f>
        <v>#REF!</v>
      </c>
      <c r="FV34" t="e">
        <f>AND(#REF!,"AAAAAHHvn7E=")</f>
        <v>#REF!</v>
      </c>
      <c r="FW34" t="e">
        <f>AND(#REF!,"AAAAAHHvn7I=")</f>
        <v>#REF!</v>
      </c>
      <c r="FX34" t="e">
        <f>AND(#REF!,"AAAAAHHvn7M=")</f>
        <v>#REF!</v>
      </c>
      <c r="FY34" t="e">
        <f>AND(#REF!,"AAAAAHHvn7Q=")</f>
        <v>#REF!</v>
      </c>
      <c r="FZ34" t="e">
        <f>AND(#REF!,"AAAAAHHvn7U=")</f>
        <v>#REF!</v>
      </c>
      <c r="GA34" t="e">
        <f>AND(#REF!,"AAAAAHHvn7Y=")</f>
        <v>#REF!</v>
      </c>
      <c r="GB34" t="e">
        <f>AND(#REF!,"AAAAAHHvn7c=")</f>
        <v>#REF!</v>
      </c>
      <c r="GC34" t="e">
        <f>IF(#REF!,"AAAAAHHvn7g=",0)</f>
        <v>#REF!</v>
      </c>
      <c r="GD34" t="e">
        <f>AND(#REF!,"AAAAAHHvn7k=")</f>
        <v>#REF!</v>
      </c>
      <c r="GE34" t="e">
        <f>AND(#REF!,"AAAAAHHvn7o=")</f>
        <v>#REF!</v>
      </c>
      <c r="GF34" t="e">
        <f>AND(#REF!,"AAAAAHHvn7s=")</f>
        <v>#REF!</v>
      </c>
      <c r="GG34" t="e">
        <f>AND(#REF!,"AAAAAHHvn7w=")</f>
        <v>#REF!</v>
      </c>
      <c r="GH34" t="e">
        <f>AND(#REF!,"AAAAAHHvn70=")</f>
        <v>#REF!</v>
      </c>
      <c r="GI34" t="e">
        <f>AND(#REF!,"AAAAAHHvn74=")</f>
        <v>#REF!</v>
      </c>
      <c r="GJ34" t="e">
        <f>AND(#REF!,"AAAAAHHvn78=")</f>
        <v>#REF!</v>
      </c>
      <c r="GK34" t="e">
        <f>AND(#REF!,"AAAAAHHvn8A=")</f>
        <v>#REF!</v>
      </c>
      <c r="GL34" t="e">
        <f>AND(#REF!,"AAAAAHHvn8E=")</f>
        <v>#REF!</v>
      </c>
      <c r="GM34" t="e">
        <f>AND(#REF!,"AAAAAHHvn8I=")</f>
        <v>#REF!</v>
      </c>
      <c r="GN34" t="e">
        <f>AND(#REF!,"AAAAAHHvn8M=")</f>
        <v>#REF!</v>
      </c>
      <c r="GO34" t="e">
        <f>AND(#REF!,"AAAAAHHvn8Q=")</f>
        <v>#REF!</v>
      </c>
      <c r="GP34" t="e">
        <f>AND(#REF!,"AAAAAHHvn8U=")</f>
        <v>#REF!</v>
      </c>
      <c r="GQ34" t="e">
        <f>AND(#REF!,"AAAAAHHvn8Y=")</f>
        <v>#REF!</v>
      </c>
      <c r="GR34" t="e">
        <f>IF(#REF!,"AAAAAHHvn8c=",0)</f>
        <v>#REF!</v>
      </c>
      <c r="GS34" t="e">
        <f>AND(#REF!,"AAAAAHHvn8g=")</f>
        <v>#REF!</v>
      </c>
      <c r="GT34" t="e">
        <f>AND(#REF!,"AAAAAHHvn8k=")</f>
        <v>#REF!</v>
      </c>
      <c r="GU34" t="e">
        <f>AND(#REF!,"AAAAAHHvn8o=")</f>
        <v>#REF!</v>
      </c>
      <c r="GV34" t="e">
        <f>AND(#REF!,"AAAAAHHvn8s=")</f>
        <v>#REF!</v>
      </c>
      <c r="GW34" t="e">
        <f>AND(#REF!,"AAAAAHHvn8w=")</f>
        <v>#REF!</v>
      </c>
      <c r="GX34" t="e">
        <f>AND(#REF!,"AAAAAHHvn80=")</f>
        <v>#REF!</v>
      </c>
      <c r="GY34" t="e">
        <f>AND(#REF!,"AAAAAHHvn84=")</f>
        <v>#REF!</v>
      </c>
      <c r="GZ34" t="e">
        <f>AND(#REF!,"AAAAAHHvn88=")</f>
        <v>#REF!</v>
      </c>
      <c r="HA34" t="e">
        <f>AND(#REF!,"AAAAAHHvn9A=")</f>
        <v>#REF!</v>
      </c>
      <c r="HB34" t="e">
        <f>AND(#REF!,"AAAAAHHvn9E=")</f>
        <v>#REF!</v>
      </c>
      <c r="HC34" t="e">
        <f>AND(#REF!,"AAAAAHHvn9I=")</f>
        <v>#REF!</v>
      </c>
      <c r="HD34" t="e">
        <f>AND(#REF!,"AAAAAHHvn9M=")</f>
        <v>#REF!</v>
      </c>
      <c r="HE34" t="e">
        <f>AND(#REF!,"AAAAAHHvn9Q=")</f>
        <v>#REF!</v>
      </c>
      <c r="HF34" t="e">
        <f>AND(#REF!,"AAAAAHHvn9U=")</f>
        <v>#REF!</v>
      </c>
      <c r="HG34" t="e">
        <f>IF(#REF!,"AAAAAHHvn9Y=",0)</f>
        <v>#REF!</v>
      </c>
      <c r="HH34" t="e">
        <f>AND(#REF!,"AAAAAHHvn9c=")</f>
        <v>#REF!</v>
      </c>
      <c r="HI34" t="e">
        <f>AND(#REF!,"AAAAAHHvn9g=")</f>
        <v>#REF!</v>
      </c>
      <c r="HJ34" t="e">
        <f>AND(#REF!,"AAAAAHHvn9k=")</f>
        <v>#REF!</v>
      </c>
      <c r="HK34" t="e">
        <f>AND(#REF!,"AAAAAHHvn9o=")</f>
        <v>#REF!</v>
      </c>
      <c r="HL34" t="e">
        <f>AND(#REF!,"AAAAAHHvn9s=")</f>
        <v>#REF!</v>
      </c>
      <c r="HM34" t="e">
        <f>AND(#REF!,"AAAAAHHvn9w=")</f>
        <v>#REF!</v>
      </c>
      <c r="HN34" t="e">
        <f>AND(#REF!,"AAAAAHHvn90=")</f>
        <v>#REF!</v>
      </c>
      <c r="HO34" t="e">
        <f>AND(#REF!,"AAAAAHHvn94=")</f>
        <v>#REF!</v>
      </c>
      <c r="HP34" t="e">
        <f>AND(#REF!,"AAAAAHHvn98=")</f>
        <v>#REF!</v>
      </c>
      <c r="HQ34" t="e">
        <f>AND(#REF!,"AAAAAHHvn+A=")</f>
        <v>#REF!</v>
      </c>
      <c r="HR34" t="e">
        <f>AND(#REF!,"AAAAAHHvn+E=")</f>
        <v>#REF!</v>
      </c>
      <c r="HS34" t="e">
        <f>AND(#REF!,"AAAAAHHvn+I=")</f>
        <v>#REF!</v>
      </c>
      <c r="HT34" t="e">
        <f>AND(#REF!,"AAAAAHHvn+M=")</f>
        <v>#REF!</v>
      </c>
      <c r="HU34" t="e">
        <f>AND(#REF!,"AAAAAHHvn+Q=")</f>
        <v>#REF!</v>
      </c>
      <c r="HV34" t="e">
        <f>IF(#REF!,"AAAAAHHvn+U=",0)</f>
        <v>#REF!</v>
      </c>
      <c r="HW34" t="e">
        <f>AND(#REF!,"AAAAAHHvn+Y=")</f>
        <v>#REF!</v>
      </c>
      <c r="HX34" t="e">
        <f>AND(#REF!,"AAAAAHHvn+c=")</f>
        <v>#REF!</v>
      </c>
      <c r="HY34" t="e">
        <f>AND(#REF!,"AAAAAHHvn+g=")</f>
        <v>#REF!</v>
      </c>
      <c r="HZ34" t="e">
        <f>AND(#REF!,"AAAAAHHvn+k=")</f>
        <v>#REF!</v>
      </c>
      <c r="IA34" t="e">
        <f>AND(#REF!,"AAAAAHHvn+o=")</f>
        <v>#REF!</v>
      </c>
      <c r="IB34" t="e">
        <f>AND(#REF!,"AAAAAHHvn+s=")</f>
        <v>#REF!</v>
      </c>
      <c r="IC34" t="e">
        <f>AND(#REF!,"AAAAAHHvn+w=")</f>
        <v>#REF!</v>
      </c>
      <c r="ID34" t="e">
        <f>AND(#REF!,"AAAAAHHvn+0=")</f>
        <v>#REF!</v>
      </c>
      <c r="IE34" t="e">
        <f>AND(#REF!,"AAAAAHHvn+4=")</f>
        <v>#REF!</v>
      </c>
      <c r="IF34" t="e">
        <f>AND(#REF!,"AAAAAHHvn+8=")</f>
        <v>#REF!</v>
      </c>
      <c r="IG34" t="e">
        <f>AND(#REF!,"AAAAAHHvn/A=")</f>
        <v>#REF!</v>
      </c>
      <c r="IH34" t="e">
        <f>AND(#REF!,"AAAAAHHvn/E=")</f>
        <v>#REF!</v>
      </c>
      <c r="II34" t="e">
        <f>AND(#REF!,"AAAAAHHvn/I=")</f>
        <v>#REF!</v>
      </c>
      <c r="IJ34" t="e">
        <f>AND(#REF!,"AAAAAHHvn/M=")</f>
        <v>#REF!</v>
      </c>
      <c r="IK34" t="e">
        <f>IF(#REF!,"AAAAAHHvn/Q=",0)</f>
        <v>#REF!</v>
      </c>
      <c r="IL34" t="e">
        <f>AND(#REF!,"AAAAAHHvn/U=")</f>
        <v>#REF!</v>
      </c>
      <c r="IM34" t="e">
        <f>AND(#REF!,"AAAAAHHvn/Y=")</f>
        <v>#REF!</v>
      </c>
      <c r="IN34" t="e">
        <f>AND(#REF!,"AAAAAHHvn/c=")</f>
        <v>#REF!</v>
      </c>
      <c r="IO34" t="e">
        <f>AND(#REF!,"AAAAAHHvn/g=")</f>
        <v>#REF!</v>
      </c>
      <c r="IP34" t="e">
        <f>AND(#REF!,"AAAAAHHvn/k=")</f>
        <v>#REF!</v>
      </c>
      <c r="IQ34" t="e">
        <f>AND(#REF!,"AAAAAHHvn/o=")</f>
        <v>#REF!</v>
      </c>
      <c r="IR34" t="e">
        <f>AND(#REF!,"AAAAAHHvn/s=")</f>
        <v>#REF!</v>
      </c>
      <c r="IS34" t="e">
        <f>AND(#REF!,"AAAAAHHvn/w=")</f>
        <v>#REF!</v>
      </c>
      <c r="IT34" t="e">
        <f>AND(#REF!,"AAAAAHHvn/0=")</f>
        <v>#REF!</v>
      </c>
      <c r="IU34" t="e">
        <f>AND(#REF!,"AAAAAHHvn/4=")</f>
        <v>#REF!</v>
      </c>
      <c r="IV34" t="e">
        <f>AND(#REF!,"AAAAAHHvn/8=")</f>
        <v>#REF!</v>
      </c>
    </row>
    <row r="35" spans="1:256" x14ac:dyDescent="0.2">
      <c r="A35" t="e">
        <f>AND(#REF!,"AAAAAG/53wA=")</f>
        <v>#REF!</v>
      </c>
      <c r="B35" t="e">
        <f>AND(#REF!,"AAAAAG/53wE=")</f>
        <v>#REF!</v>
      </c>
      <c r="C35" t="e">
        <f>AND(#REF!,"AAAAAG/53wI=")</f>
        <v>#REF!</v>
      </c>
      <c r="D35" t="e">
        <f>IF(#REF!,"AAAAAG/53wM=",0)</f>
        <v>#REF!</v>
      </c>
      <c r="E35" t="e">
        <f>AND(#REF!,"AAAAAG/53wQ=")</f>
        <v>#REF!</v>
      </c>
      <c r="F35" t="e">
        <f>AND(#REF!,"AAAAAG/53wU=")</f>
        <v>#REF!</v>
      </c>
      <c r="G35" t="e">
        <f>AND(#REF!,"AAAAAG/53wY=")</f>
        <v>#REF!</v>
      </c>
      <c r="H35" t="e">
        <f>AND(#REF!,"AAAAAG/53wc=")</f>
        <v>#REF!</v>
      </c>
      <c r="I35" t="e">
        <f>AND(#REF!,"AAAAAG/53wg=")</f>
        <v>#REF!</v>
      </c>
      <c r="J35" t="e">
        <f>AND(#REF!,"AAAAAG/53wk=")</f>
        <v>#REF!</v>
      </c>
      <c r="K35" t="e">
        <f>AND(#REF!,"AAAAAG/53wo=")</f>
        <v>#REF!</v>
      </c>
      <c r="L35" t="e">
        <f>AND(#REF!,"AAAAAG/53ws=")</f>
        <v>#REF!</v>
      </c>
      <c r="M35" t="e">
        <f>AND(#REF!,"AAAAAG/53ww=")</f>
        <v>#REF!</v>
      </c>
      <c r="N35" t="e">
        <f>AND(#REF!,"AAAAAG/53w0=")</f>
        <v>#REF!</v>
      </c>
      <c r="O35" t="e">
        <f>AND(#REF!,"AAAAAG/53w4=")</f>
        <v>#REF!</v>
      </c>
      <c r="P35" t="e">
        <f>AND(#REF!,"AAAAAG/53w8=")</f>
        <v>#REF!</v>
      </c>
      <c r="Q35" t="e">
        <f>AND(#REF!,"AAAAAG/53xA=")</f>
        <v>#REF!</v>
      </c>
      <c r="R35" t="e">
        <f>AND(#REF!,"AAAAAG/53xE=")</f>
        <v>#REF!</v>
      </c>
      <c r="S35" t="e">
        <f>IF(#REF!,"AAAAAG/53xI=",0)</f>
        <v>#REF!</v>
      </c>
      <c r="T35" t="e">
        <f>AND(#REF!,"AAAAAG/53xM=")</f>
        <v>#REF!</v>
      </c>
      <c r="U35" t="e">
        <f>AND(#REF!,"AAAAAG/53xQ=")</f>
        <v>#REF!</v>
      </c>
      <c r="V35" t="e">
        <f>AND(#REF!,"AAAAAG/53xU=")</f>
        <v>#REF!</v>
      </c>
      <c r="W35" t="e">
        <f>AND(#REF!,"AAAAAG/53xY=")</f>
        <v>#REF!</v>
      </c>
      <c r="X35" t="e">
        <f>AND(#REF!,"AAAAAG/53xc=")</f>
        <v>#REF!</v>
      </c>
      <c r="Y35" t="e">
        <f>AND(#REF!,"AAAAAG/53xg=")</f>
        <v>#REF!</v>
      </c>
      <c r="Z35" t="e">
        <f>AND(#REF!,"AAAAAG/53xk=")</f>
        <v>#REF!</v>
      </c>
      <c r="AA35" t="e">
        <f>AND(#REF!,"AAAAAG/53xo=")</f>
        <v>#REF!</v>
      </c>
      <c r="AB35" t="e">
        <f>AND(#REF!,"AAAAAG/53xs=")</f>
        <v>#REF!</v>
      </c>
      <c r="AC35" t="e">
        <f>AND(#REF!,"AAAAAG/53xw=")</f>
        <v>#REF!</v>
      </c>
      <c r="AD35" t="e">
        <f>AND(#REF!,"AAAAAG/53x0=")</f>
        <v>#REF!</v>
      </c>
      <c r="AE35" t="e">
        <f>AND(#REF!,"AAAAAG/53x4=")</f>
        <v>#REF!</v>
      </c>
      <c r="AF35" t="e">
        <f>AND(#REF!,"AAAAAG/53x8=")</f>
        <v>#REF!</v>
      </c>
      <c r="AG35" t="e">
        <f>AND(#REF!,"AAAAAG/53yA=")</f>
        <v>#REF!</v>
      </c>
      <c r="AH35" t="e">
        <f>IF(#REF!,"AAAAAG/53yE=",0)</f>
        <v>#REF!</v>
      </c>
      <c r="AI35" t="e">
        <f>AND(#REF!,"AAAAAG/53yI=")</f>
        <v>#REF!</v>
      </c>
      <c r="AJ35" t="e">
        <f>AND(#REF!,"AAAAAG/53yM=")</f>
        <v>#REF!</v>
      </c>
      <c r="AK35" t="e">
        <f>AND(#REF!,"AAAAAG/53yQ=")</f>
        <v>#REF!</v>
      </c>
      <c r="AL35" t="e">
        <f>AND(#REF!,"AAAAAG/53yU=")</f>
        <v>#REF!</v>
      </c>
      <c r="AM35" t="e">
        <f>AND(#REF!,"AAAAAG/53yY=")</f>
        <v>#REF!</v>
      </c>
      <c r="AN35" t="e">
        <f>AND(#REF!,"AAAAAG/53yc=")</f>
        <v>#REF!</v>
      </c>
      <c r="AO35" t="e">
        <f>AND(#REF!,"AAAAAG/53yg=")</f>
        <v>#REF!</v>
      </c>
      <c r="AP35" t="e">
        <f>AND(#REF!,"AAAAAG/53yk=")</f>
        <v>#REF!</v>
      </c>
      <c r="AQ35" t="e">
        <f>AND(#REF!,"AAAAAG/53yo=")</f>
        <v>#REF!</v>
      </c>
      <c r="AR35" t="e">
        <f>AND(#REF!,"AAAAAG/53ys=")</f>
        <v>#REF!</v>
      </c>
      <c r="AS35" t="e">
        <f>AND(#REF!,"AAAAAG/53yw=")</f>
        <v>#REF!</v>
      </c>
      <c r="AT35" t="e">
        <f>AND(#REF!,"AAAAAG/53y0=")</f>
        <v>#REF!</v>
      </c>
      <c r="AU35" t="e">
        <f>AND(#REF!,"AAAAAG/53y4=")</f>
        <v>#REF!</v>
      </c>
      <c r="AV35" t="e">
        <f>AND(#REF!,"AAAAAG/53y8=")</f>
        <v>#REF!</v>
      </c>
      <c r="AW35" t="e">
        <f>IF(#REF!,"AAAAAG/53zA=",0)</f>
        <v>#REF!</v>
      </c>
      <c r="AX35" t="e">
        <f>AND(#REF!,"AAAAAG/53zE=")</f>
        <v>#REF!</v>
      </c>
      <c r="AY35" t="e">
        <f>AND(#REF!,"AAAAAG/53zI=")</f>
        <v>#REF!</v>
      </c>
      <c r="AZ35" t="e">
        <f>AND(#REF!,"AAAAAG/53zM=")</f>
        <v>#REF!</v>
      </c>
      <c r="BA35" t="e">
        <f>AND(#REF!,"AAAAAG/53zQ=")</f>
        <v>#REF!</v>
      </c>
      <c r="BB35" t="e">
        <f>AND(#REF!,"AAAAAG/53zU=")</f>
        <v>#REF!</v>
      </c>
      <c r="BC35" t="e">
        <f>AND(#REF!,"AAAAAG/53zY=")</f>
        <v>#REF!</v>
      </c>
      <c r="BD35" t="e">
        <f>AND(#REF!,"AAAAAG/53zc=")</f>
        <v>#REF!</v>
      </c>
      <c r="BE35" t="e">
        <f>AND(#REF!,"AAAAAG/53zg=")</f>
        <v>#REF!</v>
      </c>
      <c r="BF35" t="e">
        <f>AND(#REF!,"AAAAAG/53zk=")</f>
        <v>#REF!</v>
      </c>
      <c r="BG35" t="e">
        <f>AND(#REF!,"AAAAAG/53zo=")</f>
        <v>#REF!</v>
      </c>
      <c r="BH35" t="e">
        <f>AND(#REF!,"AAAAAG/53zs=")</f>
        <v>#REF!</v>
      </c>
      <c r="BI35" t="e">
        <f>AND(#REF!,"AAAAAG/53zw=")</f>
        <v>#REF!</v>
      </c>
      <c r="BJ35" t="e">
        <f>AND(#REF!,"AAAAAG/53z0=")</f>
        <v>#REF!</v>
      </c>
      <c r="BK35" t="e">
        <f>AND(#REF!,"AAAAAG/53z4=")</f>
        <v>#REF!</v>
      </c>
      <c r="BL35" t="e">
        <f>IF(#REF!,"AAAAAG/53z8=",0)</f>
        <v>#REF!</v>
      </c>
      <c r="BM35" t="e">
        <f>AND(#REF!,"AAAAAG/530A=")</f>
        <v>#REF!</v>
      </c>
      <c r="BN35" t="e">
        <f>AND(#REF!,"AAAAAG/530E=")</f>
        <v>#REF!</v>
      </c>
      <c r="BO35" t="e">
        <f>AND(#REF!,"AAAAAG/530I=")</f>
        <v>#REF!</v>
      </c>
      <c r="BP35" t="e">
        <f>AND(#REF!,"AAAAAG/530M=")</f>
        <v>#REF!</v>
      </c>
      <c r="BQ35" t="e">
        <f>AND(#REF!,"AAAAAG/530Q=")</f>
        <v>#REF!</v>
      </c>
      <c r="BR35" t="e">
        <f>AND(#REF!,"AAAAAG/530U=")</f>
        <v>#REF!</v>
      </c>
      <c r="BS35" t="e">
        <f>AND(#REF!,"AAAAAG/530Y=")</f>
        <v>#REF!</v>
      </c>
      <c r="BT35" t="e">
        <f>AND(#REF!,"AAAAAG/530c=")</f>
        <v>#REF!</v>
      </c>
      <c r="BU35" t="e">
        <f>AND(#REF!,"AAAAAG/530g=")</f>
        <v>#REF!</v>
      </c>
      <c r="BV35" t="e">
        <f>AND(#REF!,"AAAAAG/530k=")</f>
        <v>#REF!</v>
      </c>
      <c r="BW35" t="e">
        <f>AND(#REF!,"AAAAAG/530o=")</f>
        <v>#REF!</v>
      </c>
      <c r="BX35" t="e">
        <f>AND(#REF!,"AAAAAG/530s=")</f>
        <v>#REF!</v>
      </c>
      <c r="BY35" t="e">
        <f>AND(#REF!,"AAAAAG/530w=")</f>
        <v>#REF!</v>
      </c>
      <c r="BZ35" t="e">
        <f>AND(#REF!,"AAAAAG/5300=")</f>
        <v>#REF!</v>
      </c>
      <c r="CA35" t="e">
        <f>IF(#REF!,"AAAAAG/5304=",0)</f>
        <v>#REF!</v>
      </c>
      <c r="CB35" t="e">
        <f>AND(#REF!,"AAAAAG/5308=")</f>
        <v>#REF!</v>
      </c>
      <c r="CC35" t="e">
        <f>AND(#REF!,"AAAAAG/531A=")</f>
        <v>#REF!</v>
      </c>
      <c r="CD35" t="e">
        <f>AND(#REF!,"AAAAAG/531E=")</f>
        <v>#REF!</v>
      </c>
      <c r="CE35" t="e">
        <f>AND(#REF!,"AAAAAG/531I=")</f>
        <v>#REF!</v>
      </c>
      <c r="CF35" t="e">
        <f>AND(#REF!,"AAAAAG/531M=")</f>
        <v>#REF!</v>
      </c>
      <c r="CG35" t="e">
        <f>AND(#REF!,"AAAAAG/531Q=")</f>
        <v>#REF!</v>
      </c>
      <c r="CH35" t="e">
        <f>AND(#REF!,"AAAAAG/531U=")</f>
        <v>#REF!</v>
      </c>
      <c r="CI35" t="e">
        <f>AND(#REF!,"AAAAAG/531Y=")</f>
        <v>#REF!</v>
      </c>
      <c r="CJ35" t="e">
        <f>AND(#REF!,"AAAAAG/531c=")</f>
        <v>#REF!</v>
      </c>
      <c r="CK35" t="e">
        <f>AND(#REF!,"AAAAAG/531g=")</f>
        <v>#REF!</v>
      </c>
      <c r="CL35" t="e">
        <f>AND(#REF!,"AAAAAG/531k=")</f>
        <v>#REF!</v>
      </c>
      <c r="CM35" t="e">
        <f>AND(#REF!,"AAAAAG/531o=")</f>
        <v>#REF!</v>
      </c>
      <c r="CN35" t="e">
        <f>AND(#REF!,"AAAAAG/531s=")</f>
        <v>#REF!</v>
      </c>
      <c r="CO35" t="e">
        <f>AND(#REF!,"AAAAAG/531w=")</f>
        <v>#REF!</v>
      </c>
      <c r="CP35" t="e">
        <f>IF(#REF!,"AAAAAG/5310=",0)</f>
        <v>#REF!</v>
      </c>
      <c r="CQ35" t="e">
        <f>AND(#REF!,"AAAAAG/5314=")</f>
        <v>#REF!</v>
      </c>
      <c r="CR35" t="e">
        <f>AND(#REF!,"AAAAAG/5318=")</f>
        <v>#REF!</v>
      </c>
      <c r="CS35" t="e">
        <f>AND(#REF!,"AAAAAG/532A=")</f>
        <v>#REF!</v>
      </c>
      <c r="CT35" t="e">
        <f>AND(#REF!,"AAAAAG/532E=")</f>
        <v>#REF!</v>
      </c>
      <c r="CU35" t="e">
        <f>AND(#REF!,"AAAAAG/532I=")</f>
        <v>#REF!</v>
      </c>
      <c r="CV35" t="e">
        <f>AND(#REF!,"AAAAAG/532M=")</f>
        <v>#REF!</v>
      </c>
      <c r="CW35" t="e">
        <f>AND(#REF!,"AAAAAG/532Q=")</f>
        <v>#REF!</v>
      </c>
      <c r="CX35" t="e">
        <f>AND(#REF!,"AAAAAG/532U=")</f>
        <v>#REF!</v>
      </c>
      <c r="CY35" t="e">
        <f>AND(#REF!,"AAAAAG/532Y=")</f>
        <v>#REF!</v>
      </c>
      <c r="CZ35" t="e">
        <f>AND(#REF!,"AAAAAG/532c=")</f>
        <v>#REF!</v>
      </c>
      <c r="DA35" t="e">
        <f>AND(#REF!,"AAAAAG/532g=")</f>
        <v>#REF!</v>
      </c>
      <c r="DB35" t="e">
        <f>AND(#REF!,"AAAAAG/532k=")</f>
        <v>#REF!</v>
      </c>
      <c r="DC35" t="e">
        <f>AND(#REF!,"AAAAAG/532o=")</f>
        <v>#REF!</v>
      </c>
      <c r="DD35" t="e">
        <f>AND(#REF!,"AAAAAG/532s=")</f>
        <v>#REF!</v>
      </c>
      <c r="DE35" t="e">
        <f>IF(#REF!,"AAAAAG/532w=",0)</f>
        <v>#REF!</v>
      </c>
      <c r="DF35" t="e">
        <f>AND(#REF!,"AAAAAG/5320=")</f>
        <v>#REF!</v>
      </c>
      <c r="DG35" t="e">
        <f>AND(#REF!,"AAAAAG/5324=")</f>
        <v>#REF!</v>
      </c>
      <c r="DH35" t="e">
        <f>AND(#REF!,"AAAAAG/5328=")</f>
        <v>#REF!</v>
      </c>
      <c r="DI35" t="e">
        <f>AND(#REF!,"AAAAAG/533A=")</f>
        <v>#REF!</v>
      </c>
      <c r="DJ35" t="e">
        <f>AND(#REF!,"AAAAAG/533E=")</f>
        <v>#REF!</v>
      </c>
      <c r="DK35" t="e">
        <f>AND(#REF!,"AAAAAG/533I=")</f>
        <v>#REF!</v>
      </c>
      <c r="DL35" t="e">
        <f>AND(#REF!,"AAAAAG/533M=")</f>
        <v>#REF!</v>
      </c>
      <c r="DM35" t="e">
        <f>AND(#REF!,"AAAAAG/533Q=")</f>
        <v>#REF!</v>
      </c>
      <c r="DN35" t="e">
        <f>AND(#REF!,"AAAAAG/533U=")</f>
        <v>#REF!</v>
      </c>
      <c r="DO35" t="e">
        <f>AND(#REF!,"AAAAAG/533Y=")</f>
        <v>#REF!</v>
      </c>
      <c r="DP35" t="e">
        <f>AND(#REF!,"AAAAAG/533c=")</f>
        <v>#REF!</v>
      </c>
      <c r="DQ35" t="e">
        <f>AND(#REF!,"AAAAAG/533g=")</f>
        <v>#REF!</v>
      </c>
      <c r="DR35" t="e">
        <f>AND(#REF!,"AAAAAG/533k=")</f>
        <v>#REF!</v>
      </c>
      <c r="DS35" t="e">
        <f>AND(#REF!,"AAAAAG/533o=")</f>
        <v>#REF!</v>
      </c>
      <c r="DT35" t="e">
        <f>IF(#REF!,"AAAAAG/533s=",0)</f>
        <v>#REF!</v>
      </c>
      <c r="DU35" t="e">
        <f>AND(#REF!,"AAAAAG/533w=")</f>
        <v>#REF!</v>
      </c>
      <c r="DV35" t="e">
        <f>AND(#REF!,"AAAAAG/5330=")</f>
        <v>#REF!</v>
      </c>
      <c r="DW35" t="e">
        <f>AND(#REF!,"AAAAAG/5334=")</f>
        <v>#REF!</v>
      </c>
      <c r="DX35" t="e">
        <f>AND(#REF!,"AAAAAG/5338=")</f>
        <v>#REF!</v>
      </c>
      <c r="DY35" t="e">
        <f>AND(#REF!,"AAAAAG/534A=")</f>
        <v>#REF!</v>
      </c>
      <c r="DZ35" t="e">
        <f>AND(#REF!,"AAAAAG/534E=")</f>
        <v>#REF!</v>
      </c>
      <c r="EA35" t="e">
        <f>AND(#REF!,"AAAAAG/534I=")</f>
        <v>#REF!</v>
      </c>
      <c r="EB35" t="e">
        <f>AND(#REF!,"AAAAAG/534M=")</f>
        <v>#REF!</v>
      </c>
      <c r="EC35" t="e">
        <f>AND(#REF!,"AAAAAG/534Q=")</f>
        <v>#REF!</v>
      </c>
      <c r="ED35" t="e">
        <f>AND(#REF!,"AAAAAG/534U=")</f>
        <v>#REF!</v>
      </c>
      <c r="EE35" t="e">
        <f>AND(#REF!,"AAAAAG/534Y=")</f>
        <v>#REF!</v>
      </c>
      <c r="EF35" t="e">
        <f>AND(#REF!,"AAAAAG/534c=")</f>
        <v>#REF!</v>
      </c>
      <c r="EG35" t="e">
        <f>AND(#REF!,"AAAAAG/534g=")</f>
        <v>#REF!</v>
      </c>
      <c r="EH35" t="e">
        <f>AND(#REF!,"AAAAAG/534k=")</f>
        <v>#REF!</v>
      </c>
      <c r="EI35" t="e">
        <f>IF(#REF!,"AAAAAG/534o=",0)</f>
        <v>#REF!</v>
      </c>
      <c r="EJ35" t="e">
        <f>AND(#REF!,"AAAAAG/534s=")</f>
        <v>#REF!</v>
      </c>
      <c r="EK35" t="e">
        <f>AND(#REF!,"AAAAAG/534w=")</f>
        <v>#REF!</v>
      </c>
      <c r="EL35" t="e">
        <f>AND(#REF!,"AAAAAG/5340=")</f>
        <v>#REF!</v>
      </c>
      <c r="EM35" t="e">
        <f>AND(#REF!,"AAAAAG/5344=")</f>
        <v>#REF!</v>
      </c>
      <c r="EN35" t="e">
        <f>AND(#REF!,"AAAAAG/5348=")</f>
        <v>#REF!</v>
      </c>
      <c r="EO35" t="e">
        <f>AND(#REF!,"AAAAAG/535A=")</f>
        <v>#REF!</v>
      </c>
      <c r="EP35" t="e">
        <f>AND(#REF!,"AAAAAG/535E=")</f>
        <v>#REF!</v>
      </c>
      <c r="EQ35" t="e">
        <f>AND(#REF!,"AAAAAG/535I=")</f>
        <v>#REF!</v>
      </c>
      <c r="ER35" t="e">
        <f>AND(#REF!,"AAAAAG/535M=")</f>
        <v>#REF!</v>
      </c>
      <c r="ES35" t="e">
        <f>AND(#REF!,"AAAAAG/535Q=")</f>
        <v>#REF!</v>
      </c>
      <c r="ET35" t="e">
        <f>AND(#REF!,"AAAAAG/535U=")</f>
        <v>#REF!</v>
      </c>
      <c r="EU35" t="e">
        <f>AND(#REF!,"AAAAAG/535Y=")</f>
        <v>#REF!</v>
      </c>
      <c r="EV35" t="e">
        <f>AND(#REF!,"AAAAAG/535c=")</f>
        <v>#REF!</v>
      </c>
      <c r="EW35" t="e">
        <f>AND(#REF!,"AAAAAG/535g=")</f>
        <v>#REF!</v>
      </c>
      <c r="EX35" t="e">
        <f>IF(#REF!,"AAAAAG/535k=",0)</f>
        <v>#REF!</v>
      </c>
      <c r="EY35" t="e">
        <f>AND(#REF!,"AAAAAG/535o=")</f>
        <v>#REF!</v>
      </c>
      <c r="EZ35" t="e">
        <f>AND(#REF!,"AAAAAG/535s=")</f>
        <v>#REF!</v>
      </c>
      <c r="FA35" t="e">
        <f>AND(#REF!,"AAAAAG/535w=")</f>
        <v>#REF!</v>
      </c>
      <c r="FB35" t="e">
        <f>AND(#REF!,"AAAAAG/5350=")</f>
        <v>#REF!</v>
      </c>
      <c r="FC35" t="e">
        <f>AND(#REF!,"AAAAAG/5354=")</f>
        <v>#REF!</v>
      </c>
      <c r="FD35" t="e">
        <f>AND(#REF!,"AAAAAG/5358=")</f>
        <v>#REF!</v>
      </c>
      <c r="FE35" t="e">
        <f>AND(#REF!,"AAAAAG/536A=")</f>
        <v>#REF!</v>
      </c>
      <c r="FF35" t="e">
        <f>AND(#REF!,"AAAAAG/536E=")</f>
        <v>#REF!</v>
      </c>
      <c r="FG35" t="e">
        <f>AND(#REF!,"AAAAAG/536I=")</f>
        <v>#REF!</v>
      </c>
      <c r="FH35" t="e">
        <f>AND(#REF!,"AAAAAG/536M=")</f>
        <v>#REF!</v>
      </c>
      <c r="FI35" t="e">
        <f>AND(#REF!,"AAAAAG/536Q=")</f>
        <v>#REF!</v>
      </c>
      <c r="FJ35" t="e">
        <f>AND(#REF!,"AAAAAG/536U=")</f>
        <v>#REF!</v>
      </c>
      <c r="FK35" t="e">
        <f>AND(#REF!,"AAAAAG/536Y=")</f>
        <v>#REF!</v>
      </c>
      <c r="FL35" t="e">
        <f>AND(#REF!,"AAAAAG/536c=")</f>
        <v>#REF!</v>
      </c>
      <c r="FM35" t="e">
        <f>IF(#REF!,"AAAAAG/536g=",0)</f>
        <v>#REF!</v>
      </c>
      <c r="FN35" t="e">
        <f>AND(#REF!,"AAAAAG/536k=")</f>
        <v>#REF!</v>
      </c>
      <c r="FO35" t="e">
        <f>AND(#REF!,"AAAAAG/536o=")</f>
        <v>#REF!</v>
      </c>
      <c r="FP35" t="e">
        <f>AND(#REF!,"AAAAAG/536s=")</f>
        <v>#REF!</v>
      </c>
      <c r="FQ35" t="e">
        <f>AND(#REF!,"AAAAAG/536w=")</f>
        <v>#REF!</v>
      </c>
      <c r="FR35" t="e">
        <f>AND(#REF!,"AAAAAG/5360=")</f>
        <v>#REF!</v>
      </c>
      <c r="FS35" t="e">
        <f>AND(#REF!,"AAAAAG/5364=")</f>
        <v>#REF!</v>
      </c>
      <c r="FT35" t="e">
        <f>AND(#REF!,"AAAAAG/5368=")</f>
        <v>#REF!</v>
      </c>
      <c r="FU35" t="e">
        <f>AND(#REF!,"AAAAAG/537A=")</f>
        <v>#REF!</v>
      </c>
      <c r="FV35" t="e">
        <f>AND(#REF!,"AAAAAG/537E=")</f>
        <v>#REF!</v>
      </c>
      <c r="FW35" t="e">
        <f>AND(#REF!,"AAAAAG/537I=")</f>
        <v>#REF!</v>
      </c>
      <c r="FX35" t="e">
        <f>AND(#REF!,"AAAAAG/537M=")</f>
        <v>#REF!</v>
      </c>
      <c r="FY35" t="e">
        <f>AND(#REF!,"AAAAAG/537Q=")</f>
        <v>#REF!</v>
      </c>
      <c r="FZ35" t="e">
        <f>AND(#REF!,"AAAAAG/537U=")</f>
        <v>#REF!</v>
      </c>
      <c r="GA35" t="e">
        <f>AND(#REF!,"AAAAAG/537Y=")</f>
        <v>#REF!</v>
      </c>
      <c r="GB35" t="e">
        <f>IF(#REF!,"AAAAAG/537c=",0)</f>
        <v>#REF!</v>
      </c>
      <c r="GC35" t="e">
        <f>AND(#REF!,"AAAAAG/537g=")</f>
        <v>#REF!</v>
      </c>
      <c r="GD35" t="e">
        <f>AND(#REF!,"AAAAAG/537k=")</f>
        <v>#REF!</v>
      </c>
      <c r="GE35" t="e">
        <f>AND(#REF!,"AAAAAG/537o=")</f>
        <v>#REF!</v>
      </c>
      <c r="GF35" t="e">
        <f>AND(#REF!,"AAAAAG/537s=")</f>
        <v>#REF!</v>
      </c>
      <c r="GG35" t="e">
        <f>AND(#REF!,"AAAAAG/537w=")</f>
        <v>#REF!</v>
      </c>
      <c r="GH35" t="e">
        <f>AND(#REF!,"AAAAAG/5370=")</f>
        <v>#REF!</v>
      </c>
      <c r="GI35" t="e">
        <f>AND(#REF!,"AAAAAG/5374=")</f>
        <v>#REF!</v>
      </c>
      <c r="GJ35" t="e">
        <f>AND(#REF!,"AAAAAG/5378=")</f>
        <v>#REF!</v>
      </c>
      <c r="GK35" t="e">
        <f>AND(#REF!,"AAAAAG/538A=")</f>
        <v>#REF!</v>
      </c>
      <c r="GL35" t="e">
        <f>AND(#REF!,"AAAAAG/538E=")</f>
        <v>#REF!</v>
      </c>
      <c r="GM35" t="e">
        <f>AND(#REF!,"AAAAAG/538I=")</f>
        <v>#REF!</v>
      </c>
      <c r="GN35" t="e">
        <f>AND(#REF!,"AAAAAG/538M=")</f>
        <v>#REF!</v>
      </c>
      <c r="GO35" t="e">
        <f>AND(#REF!,"AAAAAG/538Q=")</f>
        <v>#REF!</v>
      </c>
      <c r="GP35" t="e">
        <f>AND(#REF!,"AAAAAG/538U=")</f>
        <v>#REF!</v>
      </c>
      <c r="GQ35" t="e">
        <f>IF(#REF!,"AAAAAG/538Y=",0)</f>
        <v>#REF!</v>
      </c>
      <c r="GR35" t="e">
        <f>AND(#REF!,"AAAAAG/538c=")</f>
        <v>#REF!</v>
      </c>
      <c r="GS35" t="e">
        <f>AND(#REF!,"AAAAAG/538g=")</f>
        <v>#REF!</v>
      </c>
      <c r="GT35" t="e">
        <f>AND(#REF!,"AAAAAG/538k=")</f>
        <v>#REF!</v>
      </c>
      <c r="GU35" t="e">
        <f>AND(#REF!,"AAAAAG/538o=")</f>
        <v>#REF!</v>
      </c>
      <c r="GV35" t="e">
        <f>AND(#REF!,"AAAAAG/538s=")</f>
        <v>#REF!</v>
      </c>
      <c r="GW35" t="e">
        <f>AND(#REF!,"AAAAAG/538w=")</f>
        <v>#REF!</v>
      </c>
      <c r="GX35" t="e">
        <f>AND(#REF!,"AAAAAG/5380=")</f>
        <v>#REF!</v>
      </c>
      <c r="GY35" t="e">
        <f>AND(#REF!,"AAAAAG/5384=")</f>
        <v>#REF!</v>
      </c>
      <c r="GZ35" t="e">
        <f>AND(#REF!,"AAAAAG/5388=")</f>
        <v>#REF!</v>
      </c>
      <c r="HA35" t="e">
        <f>AND(#REF!,"AAAAAG/539A=")</f>
        <v>#REF!</v>
      </c>
      <c r="HB35" t="e">
        <f>AND(#REF!,"AAAAAG/539E=")</f>
        <v>#REF!</v>
      </c>
      <c r="HC35" t="e">
        <f>AND(#REF!,"AAAAAG/539I=")</f>
        <v>#REF!</v>
      </c>
      <c r="HD35" t="e">
        <f>AND(#REF!,"AAAAAG/539M=")</f>
        <v>#REF!</v>
      </c>
      <c r="HE35" t="e">
        <f>AND(#REF!,"AAAAAG/539Q=")</f>
        <v>#REF!</v>
      </c>
      <c r="HF35" t="e">
        <f>IF(#REF!,"AAAAAG/539U=",0)</f>
        <v>#REF!</v>
      </c>
      <c r="HG35" t="e">
        <f>IF(#REF!,"AAAAAG/539Y=",0)</f>
        <v>#REF!</v>
      </c>
      <c r="HH35" t="e">
        <f>IF(#REF!,"AAAAAG/539c=",0)</f>
        <v>#REF!</v>
      </c>
      <c r="HI35" t="e">
        <f>IF(#REF!,"AAAAAG/539g=",0)</f>
        <v>#REF!</v>
      </c>
      <c r="HJ35" t="e">
        <f>IF(#REF!,"AAAAAG/539k=",0)</f>
        <v>#REF!</v>
      </c>
      <c r="HK35" t="e">
        <f>IF(#REF!,"AAAAAG/539o=",0)</f>
        <v>#REF!</v>
      </c>
      <c r="HL35" t="e">
        <f>IF(#REF!,"AAAAAG/539s=",0)</f>
        <v>#REF!</v>
      </c>
      <c r="HM35" t="e">
        <f>IF(#REF!,"AAAAAG/539w=",0)</f>
        <v>#REF!</v>
      </c>
      <c r="HN35" t="e">
        <f>IF(#REF!,"AAAAAG/5390=",0)</f>
        <v>#REF!</v>
      </c>
      <c r="HO35" t="e">
        <f>IF(#REF!,"AAAAAG/5394=",0)</f>
        <v>#REF!</v>
      </c>
      <c r="HP35" t="e">
        <f>IF(#REF!,"AAAAAG/5398=",0)</f>
        <v>#REF!</v>
      </c>
      <c r="HQ35" t="e">
        <f>IF(#REF!,"AAAAAG/53+A=",0)</f>
        <v>#REF!</v>
      </c>
      <c r="HR35" t="e">
        <f>IF(#REF!,"AAAAAG/53+E=",0)</f>
        <v>#REF!</v>
      </c>
      <c r="HS35" t="e">
        <f>IF(#REF!,"AAAAAG/53+I=",0)</f>
        <v>#REF!</v>
      </c>
      <c r="HT35" t="e">
        <f>IF(#REF!,"AAAAAG/53+M=",0)</f>
        <v>#REF!</v>
      </c>
      <c r="HU35" t="e">
        <f>IF(#REF!,"AAAAAG/53+Q=",0)</f>
        <v>#REF!</v>
      </c>
      <c r="HV35" t="e">
        <f>AND(#REF!,"AAAAAG/53+U=")</f>
        <v>#REF!</v>
      </c>
      <c r="HW35" t="e">
        <f>AND(#REF!,"AAAAAG/53+Y=")</f>
        <v>#REF!</v>
      </c>
      <c r="HX35" t="e">
        <f>AND(#REF!,"AAAAAG/53+c=")</f>
        <v>#REF!</v>
      </c>
      <c r="HY35" t="e">
        <f>AND(#REF!,"AAAAAG/53+g=")</f>
        <v>#REF!</v>
      </c>
      <c r="HZ35" t="e">
        <f>AND(#REF!,"AAAAAG/53+k=")</f>
        <v>#REF!</v>
      </c>
      <c r="IA35" t="e">
        <f>AND(#REF!,"AAAAAG/53+o=")</f>
        <v>#REF!</v>
      </c>
      <c r="IB35" t="e">
        <f>AND(#REF!,"AAAAAG/53+s=")</f>
        <v>#REF!</v>
      </c>
      <c r="IC35" t="e">
        <f>AND(#REF!,"AAAAAG/53+w=")</f>
        <v>#REF!</v>
      </c>
      <c r="ID35" t="e">
        <f>AND(#REF!,"AAAAAG/53+0=")</f>
        <v>#REF!</v>
      </c>
      <c r="IE35" t="e">
        <f>AND(#REF!,"AAAAAG/53+4=")</f>
        <v>#REF!</v>
      </c>
      <c r="IF35" t="e">
        <f>AND(#REF!,"AAAAAG/53+8=")</f>
        <v>#REF!</v>
      </c>
      <c r="IG35" t="e">
        <f>AND(#REF!,"AAAAAG/53/A=")</f>
        <v>#REF!</v>
      </c>
      <c r="IH35" t="e">
        <f>AND(#REF!,"AAAAAG/53/E=")</f>
        <v>#REF!</v>
      </c>
      <c r="II35" t="e">
        <f>AND(#REF!,"AAAAAG/53/I=")</f>
        <v>#REF!</v>
      </c>
      <c r="IJ35" t="e">
        <f>AND(#REF!,"AAAAAG/53/M=")</f>
        <v>#REF!</v>
      </c>
      <c r="IK35" t="e">
        <f>AND(#REF!,"AAAAAG/53/Q=")</f>
        <v>#REF!</v>
      </c>
      <c r="IL35" t="e">
        <f>AND(#REF!,"AAAAAG/53/U=")</f>
        <v>#REF!</v>
      </c>
      <c r="IM35" t="e">
        <f>AND(#REF!,"AAAAAG/53/Y=")</f>
        <v>#REF!</v>
      </c>
      <c r="IN35" t="e">
        <f>AND(#REF!,"AAAAAG/53/c=")</f>
        <v>#REF!</v>
      </c>
      <c r="IO35" t="e">
        <f>AND(#REF!,"AAAAAG/53/g=")</f>
        <v>#REF!</v>
      </c>
      <c r="IP35" t="e">
        <f>AND(#REF!,"AAAAAG/53/k=")</f>
        <v>#REF!</v>
      </c>
      <c r="IQ35" t="e">
        <f>AND(#REF!,"AAAAAG/53/o=")</f>
        <v>#REF!</v>
      </c>
      <c r="IR35" t="e">
        <f>AND(#REF!,"AAAAAG/53/s=")</f>
        <v>#REF!</v>
      </c>
      <c r="IS35" t="e">
        <f>AND(#REF!,"AAAAAG/53/w=")</f>
        <v>#REF!</v>
      </c>
      <c r="IT35" t="e">
        <f>AND(#REF!,"AAAAAG/53/0=")</f>
        <v>#REF!</v>
      </c>
      <c r="IU35" t="e">
        <f>AND(#REF!,"AAAAAG/53/4=")</f>
        <v>#REF!</v>
      </c>
      <c r="IV35" t="e">
        <f>AND(#REF!,"AAAAAG/53/8=")</f>
        <v>#REF!</v>
      </c>
    </row>
    <row r="36" spans="1:256" x14ac:dyDescent="0.2">
      <c r="A36" t="e">
        <f>AND(#REF!,"AAAAAF9f/wA=")</f>
        <v>#REF!</v>
      </c>
      <c r="B36" t="e">
        <f>AND(#REF!,"AAAAAF9f/wE=")</f>
        <v>#REF!</v>
      </c>
      <c r="C36" t="e">
        <f>AND(#REF!,"AAAAAF9f/wI=")</f>
        <v>#REF!</v>
      </c>
      <c r="D36" t="e">
        <f>AND(#REF!,"AAAAAF9f/wM=")</f>
        <v>#REF!</v>
      </c>
      <c r="E36" t="e">
        <f>AND(#REF!,"AAAAAF9f/wQ=")</f>
        <v>#REF!</v>
      </c>
      <c r="F36" t="e">
        <f>AND(#REF!,"AAAAAF9f/wU=")</f>
        <v>#REF!</v>
      </c>
      <c r="G36" t="e">
        <f>AND(#REF!,"AAAAAF9f/wY=")</f>
        <v>#REF!</v>
      </c>
      <c r="H36" t="e">
        <f>AND(#REF!,"AAAAAF9f/wc=")</f>
        <v>#REF!</v>
      </c>
      <c r="I36" t="e">
        <f>AND(#REF!,"AAAAAF9f/wg=")</f>
        <v>#REF!</v>
      </c>
      <c r="J36" t="e">
        <f>AND(#REF!,"AAAAAF9f/wk=")</f>
        <v>#REF!</v>
      </c>
      <c r="K36" t="e">
        <f>AND(#REF!,"AAAAAF9f/wo=")</f>
        <v>#REF!</v>
      </c>
      <c r="L36" t="e">
        <f>AND(#REF!,"AAAAAF9f/ws=")</f>
        <v>#REF!</v>
      </c>
      <c r="M36" t="e">
        <f>AND(#REF!,"AAAAAF9f/ww=")</f>
        <v>#REF!</v>
      </c>
      <c r="N36" t="e">
        <f>AND(#REF!,"AAAAAF9f/w0=")</f>
        <v>#REF!</v>
      </c>
      <c r="O36" t="e">
        <f>AND(#REF!,"AAAAAF9f/w4=")</f>
        <v>#REF!</v>
      </c>
      <c r="P36" t="e">
        <f>AND(#REF!,"AAAAAF9f/w8=")</f>
        <v>#REF!</v>
      </c>
      <c r="Q36" t="e">
        <f>AND(#REF!,"AAAAAF9f/xA=")</f>
        <v>#REF!</v>
      </c>
      <c r="R36" t="e">
        <f>AND(#REF!,"AAAAAF9f/xE=")</f>
        <v>#REF!</v>
      </c>
      <c r="S36" t="e">
        <f>AND(#REF!,"AAAAAF9f/xI=")</f>
        <v>#REF!</v>
      </c>
      <c r="T36" t="e">
        <f>AND(#REF!,"AAAAAF9f/xM=")</f>
        <v>#REF!</v>
      </c>
      <c r="U36" t="e">
        <f>AND(#REF!,"AAAAAF9f/xQ=")</f>
        <v>#REF!</v>
      </c>
      <c r="V36" t="e">
        <f>AND(#REF!,"AAAAAF9f/xU=")</f>
        <v>#REF!</v>
      </c>
      <c r="W36" t="e">
        <f>AND(#REF!,"AAAAAF9f/xY=")</f>
        <v>#REF!</v>
      </c>
      <c r="X36" t="e">
        <f>AND(#REF!,"AAAAAF9f/xc=")</f>
        <v>#REF!</v>
      </c>
      <c r="Y36" t="e">
        <f>AND(#REF!,"AAAAAF9f/xg=")</f>
        <v>#REF!</v>
      </c>
      <c r="Z36" t="e">
        <f>AND(#REF!,"AAAAAF9f/xk=")</f>
        <v>#REF!</v>
      </c>
      <c r="AA36" t="e">
        <f>AND(#REF!,"AAAAAF9f/xo=")</f>
        <v>#REF!</v>
      </c>
      <c r="AB36" t="e">
        <f>AND(#REF!,"AAAAAF9f/xs=")</f>
        <v>#REF!</v>
      </c>
      <c r="AC36" t="e">
        <f>AND(#REF!,"AAAAAF9f/xw=")</f>
        <v>#REF!</v>
      </c>
      <c r="AD36" t="e">
        <f>AND(#REF!,"AAAAAF9f/x0=")</f>
        <v>#REF!</v>
      </c>
      <c r="AE36" t="e">
        <f>AND(#REF!,"AAAAAF9f/x4=")</f>
        <v>#REF!</v>
      </c>
      <c r="AF36" t="e">
        <f>AND(#REF!,"AAAAAF9f/x8=")</f>
        <v>#REF!</v>
      </c>
      <c r="AG36" t="e">
        <f>AND(#REF!,"AAAAAF9f/yA=")</f>
        <v>#REF!</v>
      </c>
      <c r="AH36" t="e">
        <f>AND(#REF!,"AAAAAF9f/yE=")</f>
        <v>#REF!</v>
      </c>
      <c r="AI36" t="e">
        <f>AND(#REF!,"AAAAAF9f/yI=")</f>
        <v>#REF!</v>
      </c>
      <c r="AJ36" t="e">
        <f>AND(#REF!,"AAAAAF9f/yM=")</f>
        <v>#REF!</v>
      </c>
      <c r="AK36" t="e">
        <f>AND(#REF!,"AAAAAF9f/yQ=")</f>
        <v>#REF!</v>
      </c>
      <c r="AL36" t="e">
        <f>AND(#REF!,"AAAAAF9f/yU=")</f>
        <v>#REF!</v>
      </c>
      <c r="AM36" t="e">
        <f>AND(#REF!,"AAAAAF9f/yY=")</f>
        <v>#REF!</v>
      </c>
      <c r="AN36" t="e">
        <f>AND(#REF!,"AAAAAF9f/yc=")</f>
        <v>#REF!</v>
      </c>
      <c r="AO36" t="e">
        <f>AND(#REF!,"AAAAAF9f/yg=")</f>
        <v>#REF!</v>
      </c>
      <c r="AP36" t="e">
        <f>AND(#REF!,"AAAAAF9f/yk=")</f>
        <v>#REF!</v>
      </c>
      <c r="AQ36" t="e">
        <f>AND(#REF!,"AAAAAF9f/yo=")</f>
        <v>#REF!</v>
      </c>
      <c r="AR36" t="e">
        <f>AND(#REF!,"AAAAAF9f/ys=")</f>
        <v>#REF!</v>
      </c>
      <c r="AS36" t="e">
        <f>AND(#REF!,"AAAAAF9f/yw=")</f>
        <v>#REF!</v>
      </c>
      <c r="AT36" t="e">
        <f>AND(#REF!,"AAAAAF9f/y0=")</f>
        <v>#REF!</v>
      </c>
      <c r="AU36" t="e">
        <f>AND(#REF!,"AAAAAF9f/y4=")</f>
        <v>#REF!</v>
      </c>
      <c r="AV36" t="e">
        <f>IF(#REF!,"AAAAAF9f/y8=",0)</f>
        <v>#REF!</v>
      </c>
      <c r="AW36" t="e">
        <f>AND(#REF!,"AAAAAF9f/zA=")</f>
        <v>#REF!</v>
      </c>
      <c r="AX36" t="e">
        <f>AND(#REF!,"AAAAAF9f/zE=")</f>
        <v>#REF!</v>
      </c>
      <c r="AY36" t="e">
        <f>AND(#REF!,"AAAAAF9f/zI=")</f>
        <v>#REF!</v>
      </c>
      <c r="AZ36" t="e">
        <f>AND(#REF!,"AAAAAF9f/zM=")</f>
        <v>#REF!</v>
      </c>
      <c r="BA36" t="e">
        <f>AND(#REF!,"AAAAAF9f/zQ=")</f>
        <v>#REF!</v>
      </c>
      <c r="BB36" t="e">
        <f>AND(#REF!,"AAAAAF9f/zU=")</f>
        <v>#REF!</v>
      </c>
      <c r="BC36" t="e">
        <f>AND(#REF!,"AAAAAF9f/zY=")</f>
        <v>#REF!</v>
      </c>
      <c r="BD36" t="e">
        <f>AND(#REF!,"AAAAAF9f/zc=")</f>
        <v>#REF!</v>
      </c>
      <c r="BE36" t="e">
        <f>AND(#REF!,"AAAAAF9f/zg=")</f>
        <v>#REF!</v>
      </c>
      <c r="BF36" t="e">
        <f>AND(#REF!,"AAAAAF9f/zk=")</f>
        <v>#REF!</v>
      </c>
      <c r="BG36" t="e">
        <f>AND(#REF!,"AAAAAF9f/zo=")</f>
        <v>#REF!</v>
      </c>
      <c r="BH36" t="e">
        <f>AND(#REF!,"AAAAAF9f/zs=")</f>
        <v>#REF!</v>
      </c>
      <c r="BI36" t="e">
        <f>AND(#REF!,"AAAAAF9f/zw=")</f>
        <v>#REF!</v>
      </c>
      <c r="BJ36" t="e">
        <f>AND(#REF!,"AAAAAF9f/z0=")</f>
        <v>#REF!</v>
      </c>
      <c r="BK36" t="e">
        <f>AND(#REF!,"AAAAAF9f/z4=")</f>
        <v>#REF!</v>
      </c>
      <c r="BL36" t="e">
        <f>AND(#REF!,"AAAAAF9f/z8=")</f>
        <v>#REF!</v>
      </c>
      <c r="BM36" t="e">
        <f>AND(#REF!,"AAAAAF9f/0A=")</f>
        <v>#REF!</v>
      </c>
      <c r="BN36" t="e">
        <f>AND(#REF!,"AAAAAF9f/0E=")</f>
        <v>#REF!</v>
      </c>
      <c r="BO36" t="e">
        <f>AND(#REF!,"AAAAAF9f/0I=")</f>
        <v>#REF!</v>
      </c>
      <c r="BP36" t="e">
        <f>AND(#REF!,"AAAAAF9f/0M=")</f>
        <v>#REF!</v>
      </c>
      <c r="BQ36" t="e">
        <f>AND(#REF!,"AAAAAF9f/0Q=")</f>
        <v>#REF!</v>
      </c>
      <c r="BR36" t="e">
        <f>AND(#REF!,"AAAAAF9f/0U=")</f>
        <v>#REF!</v>
      </c>
      <c r="BS36" t="e">
        <f>AND(#REF!,"AAAAAF9f/0Y=")</f>
        <v>#REF!</v>
      </c>
      <c r="BT36" t="e">
        <f>AND(#REF!,"AAAAAF9f/0c=")</f>
        <v>#REF!</v>
      </c>
      <c r="BU36" t="e">
        <f>AND(#REF!,"AAAAAF9f/0g=")</f>
        <v>#REF!</v>
      </c>
      <c r="BV36" t="e">
        <f>AND(#REF!,"AAAAAF9f/0k=")</f>
        <v>#REF!</v>
      </c>
      <c r="BW36" t="e">
        <f>AND(#REF!,"AAAAAF9f/0o=")</f>
        <v>#REF!</v>
      </c>
      <c r="BX36" t="e">
        <f>AND(#REF!,"AAAAAF9f/0s=")</f>
        <v>#REF!</v>
      </c>
      <c r="BY36" t="e">
        <f>AND(#REF!,"AAAAAF9f/0w=")</f>
        <v>#REF!</v>
      </c>
      <c r="BZ36" t="e">
        <f>AND(#REF!,"AAAAAF9f/00=")</f>
        <v>#REF!</v>
      </c>
      <c r="CA36" t="e">
        <f>AND(#REF!,"AAAAAF9f/04=")</f>
        <v>#REF!</v>
      </c>
      <c r="CB36" t="e">
        <f>AND(#REF!,"AAAAAF9f/08=")</f>
        <v>#REF!</v>
      </c>
      <c r="CC36" t="e">
        <f>AND(#REF!,"AAAAAF9f/1A=")</f>
        <v>#REF!</v>
      </c>
      <c r="CD36" t="e">
        <f>AND(#REF!,"AAAAAF9f/1E=")</f>
        <v>#REF!</v>
      </c>
      <c r="CE36" t="e">
        <f>AND(#REF!,"AAAAAF9f/1I=")</f>
        <v>#REF!</v>
      </c>
      <c r="CF36" t="e">
        <f>AND(#REF!,"AAAAAF9f/1M=")</f>
        <v>#REF!</v>
      </c>
      <c r="CG36" t="e">
        <f>AND(#REF!,"AAAAAF9f/1Q=")</f>
        <v>#REF!</v>
      </c>
      <c r="CH36" t="e">
        <f>AND(#REF!,"AAAAAF9f/1U=")</f>
        <v>#REF!</v>
      </c>
      <c r="CI36" t="e">
        <f>AND(#REF!,"AAAAAF9f/1Y=")</f>
        <v>#REF!</v>
      </c>
      <c r="CJ36" t="e">
        <f>AND(#REF!,"AAAAAF9f/1c=")</f>
        <v>#REF!</v>
      </c>
      <c r="CK36" t="e">
        <f>AND(#REF!,"AAAAAF9f/1g=")</f>
        <v>#REF!</v>
      </c>
      <c r="CL36" t="e">
        <f>AND(#REF!,"AAAAAF9f/1k=")</f>
        <v>#REF!</v>
      </c>
      <c r="CM36" t="e">
        <f>AND(#REF!,"AAAAAF9f/1o=")</f>
        <v>#REF!</v>
      </c>
      <c r="CN36" t="e">
        <f>AND(#REF!,"AAAAAF9f/1s=")</f>
        <v>#REF!</v>
      </c>
      <c r="CO36" t="e">
        <f>AND(#REF!,"AAAAAF9f/1w=")</f>
        <v>#REF!</v>
      </c>
      <c r="CP36" t="e">
        <f>AND(#REF!,"AAAAAF9f/10=")</f>
        <v>#REF!</v>
      </c>
      <c r="CQ36" t="e">
        <f>AND(#REF!,"AAAAAF9f/14=")</f>
        <v>#REF!</v>
      </c>
      <c r="CR36" t="e">
        <f>AND(#REF!,"AAAAAF9f/18=")</f>
        <v>#REF!</v>
      </c>
      <c r="CS36" t="e">
        <f>AND(#REF!,"AAAAAF9f/2A=")</f>
        <v>#REF!</v>
      </c>
      <c r="CT36" t="e">
        <f>AND(#REF!,"AAAAAF9f/2E=")</f>
        <v>#REF!</v>
      </c>
      <c r="CU36" t="e">
        <f>AND(#REF!,"AAAAAF9f/2I=")</f>
        <v>#REF!</v>
      </c>
      <c r="CV36" t="e">
        <f>AND(#REF!,"AAAAAF9f/2M=")</f>
        <v>#REF!</v>
      </c>
      <c r="CW36" t="e">
        <f>AND(#REF!,"AAAAAF9f/2Q=")</f>
        <v>#REF!</v>
      </c>
      <c r="CX36" t="e">
        <f>AND(#REF!,"AAAAAF9f/2U=")</f>
        <v>#REF!</v>
      </c>
      <c r="CY36" t="e">
        <f>AND(#REF!,"AAAAAF9f/2Y=")</f>
        <v>#REF!</v>
      </c>
      <c r="CZ36" t="e">
        <f>AND(#REF!,"AAAAAF9f/2c=")</f>
        <v>#REF!</v>
      </c>
      <c r="DA36" t="e">
        <f>AND(#REF!,"AAAAAF9f/2g=")</f>
        <v>#REF!</v>
      </c>
      <c r="DB36" t="e">
        <f>AND(#REF!,"AAAAAF9f/2k=")</f>
        <v>#REF!</v>
      </c>
      <c r="DC36" t="e">
        <f>AND(#REF!,"AAAAAF9f/2o=")</f>
        <v>#REF!</v>
      </c>
      <c r="DD36" t="e">
        <f>AND(#REF!,"AAAAAF9f/2s=")</f>
        <v>#REF!</v>
      </c>
      <c r="DE36" t="e">
        <f>AND(#REF!,"AAAAAF9f/2w=")</f>
        <v>#REF!</v>
      </c>
      <c r="DF36" t="e">
        <f>AND(#REF!,"AAAAAF9f/20=")</f>
        <v>#REF!</v>
      </c>
      <c r="DG36" t="e">
        <f>AND(#REF!,"AAAAAF9f/24=")</f>
        <v>#REF!</v>
      </c>
      <c r="DH36" t="e">
        <f>AND(#REF!,"AAAAAF9f/28=")</f>
        <v>#REF!</v>
      </c>
      <c r="DI36" t="e">
        <f>AND(#REF!,"AAAAAF9f/3A=")</f>
        <v>#REF!</v>
      </c>
      <c r="DJ36" t="e">
        <f>AND(#REF!,"AAAAAF9f/3E=")</f>
        <v>#REF!</v>
      </c>
      <c r="DK36" t="e">
        <f>AND(#REF!,"AAAAAF9f/3I=")</f>
        <v>#REF!</v>
      </c>
      <c r="DL36" t="e">
        <f>AND(#REF!,"AAAAAF9f/3M=")</f>
        <v>#REF!</v>
      </c>
      <c r="DM36" t="e">
        <f>AND(#REF!,"AAAAAF9f/3Q=")</f>
        <v>#REF!</v>
      </c>
      <c r="DN36" t="e">
        <f>AND(#REF!,"AAAAAF9f/3U=")</f>
        <v>#REF!</v>
      </c>
      <c r="DO36" t="e">
        <f>AND(#REF!,"AAAAAF9f/3Y=")</f>
        <v>#REF!</v>
      </c>
      <c r="DP36" t="e">
        <f>AND(#REF!,"AAAAAF9f/3c=")</f>
        <v>#REF!</v>
      </c>
      <c r="DQ36" t="e">
        <f>AND(#REF!,"AAAAAF9f/3g=")</f>
        <v>#REF!</v>
      </c>
      <c r="DR36" t="e">
        <f>AND(#REF!,"AAAAAF9f/3k=")</f>
        <v>#REF!</v>
      </c>
      <c r="DS36" t="e">
        <f>IF(#REF!,"AAAAAF9f/3o=",0)</f>
        <v>#REF!</v>
      </c>
      <c r="DT36" t="e">
        <f>AND(#REF!,"AAAAAF9f/3s=")</f>
        <v>#REF!</v>
      </c>
      <c r="DU36" t="e">
        <f>AND(#REF!,"AAAAAF9f/3w=")</f>
        <v>#REF!</v>
      </c>
      <c r="DV36" t="e">
        <f>AND(#REF!,"AAAAAF9f/30=")</f>
        <v>#REF!</v>
      </c>
      <c r="DW36" t="e">
        <f>AND(#REF!,"AAAAAF9f/34=")</f>
        <v>#REF!</v>
      </c>
      <c r="DX36" t="e">
        <f>AND(#REF!,"AAAAAF9f/38=")</f>
        <v>#REF!</v>
      </c>
      <c r="DY36" t="e">
        <f>AND(#REF!,"AAAAAF9f/4A=")</f>
        <v>#REF!</v>
      </c>
      <c r="DZ36" t="e">
        <f>AND(#REF!,"AAAAAF9f/4E=")</f>
        <v>#REF!</v>
      </c>
      <c r="EA36" t="e">
        <f>AND(#REF!,"AAAAAF9f/4I=")</f>
        <v>#REF!</v>
      </c>
      <c r="EB36" t="e">
        <f>AND(#REF!,"AAAAAF9f/4M=")</f>
        <v>#REF!</v>
      </c>
      <c r="EC36" t="e">
        <f>AND(#REF!,"AAAAAF9f/4Q=")</f>
        <v>#REF!</v>
      </c>
      <c r="ED36" t="e">
        <f>AND(#REF!,"AAAAAF9f/4U=")</f>
        <v>#REF!</v>
      </c>
      <c r="EE36" t="e">
        <f>AND(#REF!,"AAAAAF9f/4Y=")</f>
        <v>#REF!</v>
      </c>
      <c r="EF36" t="e">
        <f>AND(#REF!,"AAAAAF9f/4c=")</f>
        <v>#REF!</v>
      </c>
      <c r="EG36" t="e">
        <f>AND(#REF!,"AAAAAF9f/4g=")</f>
        <v>#REF!</v>
      </c>
      <c r="EH36" t="e">
        <f>AND(#REF!,"AAAAAF9f/4k=")</f>
        <v>#REF!</v>
      </c>
      <c r="EI36" t="e">
        <f>AND(#REF!,"AAAAAF9f/4o=")</f>
        <v>#REF!</v>
      </c>
      <c r="EJ36" t="e">
        <f>AND(#REF!,"AAAAAF9f/4s=")</f>
        <v>#REF!</v>
      </c>
      <c r="EK36" t="e">
        <f>AND(#REF!,"AAAAAF9f/4w=")</f>
        <v>#REF!</v>
      </c>
      <c r="EL36" t="e">
        <f>AND(#REF!,"AAAAAF9f/40=")</f>
        <v>#REF!</v>
      </c>
      <c r="EM36" t="e">
        <f>AND(#REF!,"AAAAAF9f/44=")</f>
        <v>#REF!</v>
      </c>
      <c r="EN36" t="e">
        <f>AND(#REF!,"AAAAAF9f/48=")</f>
        <v>#REF!</v>
      </c>
      <c r="EO36" t="e">
        <f>AND(#REF!,"AAAAAF9f/5A=")</f>
        <v>#REF!</v>
      </c>
      <c r="EP36" t="e">
        <f>AND(#REF!,"AAAAAF9f/5E=")</f>
        <v>#REF!</v>
      </c>
      <c r="EQ36" t="e">
        <f>AND(#REF!,"AAAAAF9f/5I=")</f>
        <v>#REF!</v>
      </c>
      <c r="ER36" t="e">
        <f>AND(#REF!,"AAAAAF9f/5M=")</f>
        <v>#REF!</v>
      </c>
      <c r="ES36" t="e">
        <f>AND(#REF!,"AAAAAF9f/5Q=")</f>
        <v>#REF!</v>
      </c>
      <c r="ET36" t="e">
        <f>AND(#REF!,"AAAAAF9f/5U=")</f>
        <v>#REF!</v>
      </c>
      <c r="EU36" t="e">
        <f>AND(#REF!,"AAAAAF9f/5Y=")</f>
        <v>#REF!</v>
      </c>
      <c r="EV36" t="e">
        <f>AND(#REF!,"AAAAAF9f/5c=")</f>
        <v>#REF!</v>
      </c>
      <c r="EW36" t="e">
        <f>AND(#REF!,"AAAAAF9f/5g=")</f>
        <v>#REF!</v>
      </c>
      <c r="EX36" t="e">
        <f>AND(#REF!,"AAAAAF9f/5k=")</f>
        <v>#REF!</v>
      </c>
      <c r="EY36" t="e">
        <f>AND(#REF!,"AAAAAF9f/5o=")</f>
        <v>#REF!</v>
      </c>
      <c r="EZ36" t="e">
        <f>AND(#REF!,"AAAAAF9f/5s=")</f>
        <v>#REF!</v>
      </c>
      <c r="FA36" t="e">
        <f>AND(#REF!,"AAAAAF9f/5w=")</f>
        <v>#REF!</v>
      </c>
      <c r="FB36" t="e">
        <f>AND(#REF!,"AAAAAF9f/50=")</f>
        <v>#REF!</v>
      </c>
      <c r="FC36" t="e">
        <f>AND(#REF!,"AAAAAF9f/54=")</f>
        <v>#REF!</v>
      </c>
      <c r="FD36" t="e">
        <f>AND(#REF!,"AAAAAF9f/58=")</f>
        <v>#REF!</v>
      </c>
      <c r="FE36" t="e">
        <f>AND(#REF!,"AAAAAF9f/6A=")</f>
        <v>#REF!</v>
      </c>
      <c r="FF36" t="e">
        <f>AND(#REF!,"AAAAAF9f/6E=")</f>
        <v>#REF!</v>
      </c>
      <c r="FG36" t="e">
        <f>AND(#REF!,"AAAAAF9f/6I=")</f>
        <v>#REF!</v>
      </c>
      <c r="FH36" t="e">
        <f>AND(#REF!,"AAAAAF9f/6M=")</f>
        <v>#REF!</v>
      </c>
      <c r="FI36" t="e">
        <f>AND(#REF!,"AAAAAF9f/6Q=")</f>
        <v>#REF!</v>
      </c>
      <c r="FJ36" t="e">
        <f>AND(#REF!,"AAAAAF9f/6U=")</f>
        <v>#REF!</v>
      </c>
      <c r="FK36" t="e">
        <f>AND(#REF!,"AAAAAF9f/6Y=")</f>
        <v>#REF!</v>
      </c>
      <c r="FL36" t="e">
        <f>AND(#REF!,"AAAAAF9f/6c=")</f>
        <v>#REF!</v>
      </c>
      <c r="FM36" t="e">
        <f>AND(#REF!,"AAAAAF9f/6g=")</f>
        <v>#REF!</v>
      </c>
      <c r="FN36" t="e">
        <f>AND(#REF!,"AAAAAF9f/6k=")</f>
        <v>#REF!</v>
      </c>
      <c r="FO36" t="e">
        <f>AND(#REF!,"AAAAAF9f/6o=")</f>
        <v>#REF!</v>
      </c>
      <c r="FP36" t="e">
        <f>AND(#REF!,"AAAAAF9f/6s=")</f>
        <v>#REF!</v>
      </c>
      <c r="FQ36" t="e">
        <f>AND(#REF!,"AAAAAF9f/6w=")</f>
        <v>#REF!</v>
      </c>
      <c r="FR36" t="e">
        <f>AND(#REF!,"AAAAAF9f/60=")</f>
        <v>#REF!</v>
      </c>
      <c r="FS36" t="e">
        <f>AND(#REF!,"AAAAAF9f/64=")</f>
        <v>#REF!</v>
      </c>
      <c r="FT36" t="e">
        <f>AND(#REF!,"AAAAAF9f/68=")</f>
        <v>#REF!</v>
      </c>
      <c r="FU36" t="e">
        <f>AND(#REF!,"AAAAAF9f/7A=")</f>
        <v>#REF!</v>
      </c>
      <c r="FV36" t="e">
        <f>AND(#REF!,"AAAAAF9f/7E=")</f>
        <v>#REF!</v>
      </c>
      <c r="FW36" t="e">
        <f>AND(#REF!,"AAAAAF9f/7I=")</f>
        <v>#REF!</v>
      </c>
      <c r="FX36" t="e">
        <f>AND(#REF!,"AAAAAF9f/7M=")</f>
        <v>#REF!</v>
      </c>
      <c r="FY36" t="e">
        <f>AND(#REF!,"AAAAAF9f/7Q=")</f>
        <v>#REF!</v>
      </c>
      <c r="FZ36" t="e">
        <f>AND(#REF!,"AAAAAF9f/7U=")</f>
        <v>#REF!</v>
      </c>
      <c r="GA36" t="e">
        <f>AND(#REF!,"AAAAAF9f/7Y=")</f>
        <v>#REF!</v>
      </c>
      <c r="GB36" t="e">
        <f>AND(#REF!,"AAAAAF9f/7c=")</f>
        <v>#REF!</v>
      </c>
      <c r="GC36" t="e">
        <f>AND(#REF!,"AAAAAF9f/7g=")</f>
        <v>#REF!</v>
      </c>
      <c r="GD36" t="e">
        <f>AND(#REF!,"AAAAAF9f/7k=")</f>
        <v>#REF!</v>
      </c>
      <c r="GE36" t="e">
        <f>AND(#REF!,"AAAAAF9f/7o=")</f>
        <v>#REF!</v>
      </c>
      <c r="GF36" t="e">
        <f>AND(#REF!,"AAAAAF9f/7s=")</f>
        <v>#REF!</v>
      </c>
      <c r="GG36" t="e">
        <f>AND(#REF!,"AAAAAF9f/7w=")</f>
        <v>#REF!</v>
      </c>
      <c r="GH36" t="e">
        <f>AND(#REF!,"AAAAAF9f/70=")</f>
        <v>#REF!</v>
      </c>
      <c r="GI36" t="e">
        <f>AND(#REF!,"AAAAAF9f/74=")</f>
        <v>#REF!</v>
      </c>
      <c r="GJ36" t="e">
        <f>AND(#REF!,"AAAAAF9f/78=")</f>
        <v>#REF!</v>
      </c>
      <c r="GK36" t="e">
        <f>AND(#REF!,"AAAAAF9f/8A=")</f>
        <v>#REF!</v>
      </c>
      <c r="GL36" t="e">
        <f>AND(#REF!,"AAAAAF9f/8E=")</f>
        <v>#REF!</v>
      </c>
      <c r="GM36" t="e">
        <f>AND(#REF!,"AAAAAF9f/8I=")</f>
        <v>#REF!</v>
      </c>
      <c r="GN36" t="e">
        <f>AND(#REF!,"AAAAAF9f/8M=")</f>
        <v>#REF!</v>
      </c>
      <c r="GO36" t="e">
        <f>AND(#REF!,"AAAAAF9f/8Q=")</f>
        <v>#REF!</v>
      </c>
      <c r="GP36" t="e">
        <f>IF(#REF!,"AAAAAF9f/8U=",0)</f>
        <v>#REF!</v>
      </c>
      <c r="GQ36" t="e">
        <f>AND(#REF!,"AAAAAF9f/8Y=")</f>
        <v>#REF!</v>
      </c>
      <c r="GR36" t="e">
        <f>AND(#REF!,"AAAAAF9f/8c=")</f>
        <v>#REF!</v>
      </c>
      <c r="GS36" t="e">
        <f>AND(#REF!,"AAAAAF9f/8g=")</f>
        <v>#REF!</v>
      </c>
      <c r="GT36" t="e">
        <f>AND(#REF!,"AAAAAF9f/8k=")</f>
        <v>#REF!</v>
      </c>
      <c r="GU36" t="e">
        <f>AND(#REF!,"AAAAAF9f/8o=")</f>
        <v>#REF!</v>
      </c>
      <c r="GV36" t="e">
        <f>AND(#REF!,"AAAAAF9f/8s=")</f>
        <v>#REF!</v>
      </c>
      <c r="GW36" t="e">
        <f>AND(#REF!,"AAAAAF9f/8w=")</f>
        <v>#REF!</v>
      </c>
      <c r="GX36" t="e">
        <f>AND(#REF!,"AAAAAF9f/80=")</f>
        <v>#REF!</v>
      </c>
      <c r="GY36" t="e">
        <f>AND(#REF!,"AAAAAF9f/84=")</f>
        <v>#REF!</v>
      </c>
      <c r="GZ36" t="e">
        <f>AND(#REF!,"AAAAAF9f/88=")</f>
        <v>#REF!</v>
      </c>
      <c r="HA36" t="e">
        <f>AND(#REF!,"AAAAAF9f/9A=")</f>
        <v>#REF!</v>
      </c>
      <c r="HB36" t="e">
        <f>AND(#REF!,"AAAAAF9f/9E=")</f>
        <v>#REF!</v>
      </c>
      <c r="HC36" t="e">
        <f>AND(#REF!,"AAAAAF9f/9I=")</f>
        <v>#REF!</v>
      </c>
      <c r="HD36" t="e">
        <f>AND(#REF!,"AAAAAF9f/9M=")</f>
        <v>#REF!</v>
      </c>
      <c r="HE36" t="e">
        <f>AND(#REF!,"AAAAAF9f/9Q=")</f>
        <v>#REF!</v>
      </c>
      <c r="HF36" t="e">
        <f>AND(#REF!,"AAAAAF9f/9U=")</f>
        <v>#REF!</v>
      </c>
      <c r="HG36" t="e">
        <f>AND(#REF!,"AAAAAF9f/9Y=")</f>
        <v>#REF!</v>
      </c>
      <c r="HH36" t="e">
        <f>AND(#REF!,"AAAAAF9f/9c=")</f>
        <v>#REF!</v>
      </c>
      <c r="HI36" t="e">
        <f>AND(#REF!,"AAAAAF9f/9g=")</f>
        <v>#REF!</v>
      </c>
      <c r="HJ36" t="e">
        <f>AND(#REF!,"AAAAAF9f/9k=")</f>
        <v>#REF!</v>
      </c>
      <c r="HK36" t="e">
        <f>AND(#REF!,"AAAAAF9f/9o=")</f>
        <v>#REF!</v>
      </c>
      <c r="HL36" t="e">
        <f>AND(#REF!,"AAAAAF9f/9s=")</f>
        <v>#REF!</v>
      </c>
      <c r="HM36" t="e">
        <f>AND(#REF!,"AAAAAF9f/9w=")</f>
        <v>#REF!</v>
      </c>
      <c r="HN36" t="e">
        <f>AND(#REF!,"AAAAAF9f/90=")</f>
        <v>#REF!</v>
      </c>
      <c r="HO36" t="e">
        <f>AND(#REF!,"AAAAAF9f/94=")</f>
        <v>#REF!</v>
      </c>
      <c r="HP36" t="e">
        <f>AND(#REF!,"AAAAAF9f/98=")</f>
        <v>#REF!</v>
      </c>
      <c r="HQ36" t="e">
        <f>AND(#REF!,"AAAAAF9f/+A=")</f>
        <v>#REF!</v>
      </c>
      <c r="HR36" t="e">
        <f>AND(#REF!,"AAAAAF9f/+E=")</f>
        <v>#REF!</v>
      </c>
      <c r="HS36" t="e">
        <f>AND(#REF!,"AAAAAF9f/+I=")</f>
        <v>#REF!</v>
      </c>
      <c r="HT36" t="e">
        <f>AND(#REF!,"AAAAAF9f/+M=")</f>
        <v>#REF!</v>
      </c>
      <c r="HU36" t="e">
        <f>AND(#REF!,"AAAAAF9f/+Q=")</f>
        <v>#REF!</v>
      </c>
      <c r="HV36" t="e">
        <f>AND(#REF!,"AAAAAF9f/+U=")</f>
        <v>#REF!</v>
      </c>
      <c r="HW36" t="e">
        <f>AND(#REF!,"AAAAAF9f/+Y=")</f>
        <v>#REF!</v>
      </c>
      <c r="HX36" t="e">
        <f>AND(#REF!,"AAAAAF9f/+c=")</f>
        <v>#REF!</v>
      </c>
      <c r="HY36" t="e">
        <f>AND(#REF!,"AAAAAF9f/+g=")</f>
        <v>#REF!</v>
      </c>
      <c r="HZ36" t="e">
        <f>AND(#REF!,"AAAAAF9f/+k=")</f>
        <v>#REF!</v>
      </c>
      <c r="IA36" t="e">
        <f>AND(#REF!,"AAAAAF9f/+o=")</f>
        <v>#REF!</v>
      </c>
      <c r="IB36" t="e">
        <f>AND(#REF!,"AAAAAF9f/+s=")</f>
        <v>#REF!</v>
      </c>
      <c r="IC36" t="e">
        <f>AND(#REF!,"AAAAAF9f/+w=")</f>
        <v>#REF!</v>
      </c>
      <c r="ID36" t="e">
        <f>AND(#REF!,"AAAAAF9f/+0=")</f>
        <v>#REF!</v>
      </c>
      <c r="IE36" t="e">
        <f>AND(#REF!,"AAAAAF9f/+4=")</f>
        <v>#REF!</v>
      </c>
      <c r="IF36" t="e">
        <f>AND(#REF!,"AAAAAF9f/+8=")</f>
        <v>#REF!</v>
      </c>
      <c r="IG36" t="e">
        <f>AND(#REF!,"AAAAAF9f//A=")</f>
        <v>#REF!</v>
      </c>
      <c r="IH36" t="e">
        <f>AND(#REF!,"AAAAAF9f//E=")</f>
        <v>#REF!</v>
      </c>
      <c r="II36" t="e">
        <f>AND(#REF!,"AAAAAF9f//I=")</f>
        <v>#REF!</v>
      </c>
      <c r="IJ36" t="e">
        <f>AND(#REF!,"AAAAAF9f//M=")</f>
        <v>#REF!</v>
      </c>
      <c r="IK36" t="e">
        <f>AND(#REF!,"AAAAAF9f//Q=")</f>
        <v>#REF!</v>
      </c>
      <c r="IL36" t="e">
        <f>AND(#REF!,"AAAAAF9f//U=")</f>
        <v>#REF!</v>
      </c>
      <c r="IM36" t="e">
        <f>AND(#REF!,"AAAAAF9f//Y=")</f>
        <v>#REF!</v>
      </c>
      <c r="IN36" t="e">
        <f>AND(#REF!,"AAAAAF9f//c=")</f>
        <v>#REF!</v>
      </c>
      <c r="IO36" t="e">
        <f>AND(#REF!,"AAAAAF9f//g=")</f>
        <v>#REF!</v>
      </c>
      <c r="IP36" t="e">
        <f>AND(#REF!,"AAAAAF9f//k=")</f>
        <v>#REF!</v>
      </c>
      <c r="IQ36" t="e">
        <f>AND(#REF!,"AAAAAF9f//o=")</f>
        <v>#REF!</v>
      </c>
      <c r="IR36" t="e">
        <f>AND(#REF!,"AAAAAF9f//s=")</f>
        <v>#REF!</v>
      </c>
      <c r="IS36" t="e">
        <f>AND(#REF!,"AAAAAF9f//w=")</f>
        <v>#REF!</v>
      </c>
      <c r="IT36" t="e">
        <f>AND(#REF!,"AAAAAF9f//0=")</f>
        <v>#REF!</v>
      </c>
      <c r="IU36" t="e">
        <f>AND(#REF!,"AAAAAF9f//4=")</f>
        <v>#REF!</v>
      </c>
      <c r="IV36" t="e">
        <f>AND(#REF!,"AAAAAF9f//8=")</f>
        <v>#REF!</v>
      </c>
    </row>
    <row r="37" spans="1:256" x14ac:dyDescent="0.2">
      <c r="A37" t="e">
        <f>AND(#REF!,"AAAAAFj+7wA=")</f>
        <v>#REF!</v>
      </c>
      <c r="B37" t="e">
        <f>AND(#REF!,"AAAAAFj+7wE=")</f>
        <v>#REF!</v>
      </c>
      <c r="C37" t="e">
        <f>AND(#REF!,"AAAAAFj+7wI=")</f>
        <v>#REF!</v>
      </c>
      <c r="D37" t="e">
        <f>AND(#REF!,"AAAAAFj+7wM=")</f>
        <v>#REF!</v>
      </c>
      <c r="E37" t="e">
        <f>AND(#REF!,"AAAAAFj+7wQ=")</f>
        <v>#REF!</v>
      </c>
      <c r="F37" t="e">
        <f>AND(#REF!,"AAAAAFj+7wU=")</f>
        <v>#REF!</v>
      </c>
      <c r="G37" t="e">
        <f>AND(#REF!,"AAAAAFj+7wY=")</f>
        <v>#REF!</v>
      </c>
      <c r="H37" t="e">
        <f>AND(#REF!,"AAAAAFj+7wc=")</f>
        <v>#REF!</v>
      </c>
      <c r="I37" t="e">
        <f>AND(#REF!,"AAAAAFj+7wg=")</f>
        <v>#REF!</v>
      </c>
      <c r="J37" t="e">
        <f>AND(#REF!,"AAAAAFj+7wk=")</f>
        <v>#REF!</v>
      </c>
      <c r="K37" t="e">
        <f>AND(#REF!,"AAAAAFj+7wo=")</f>
        <v>#REF!</v>
      </c>
      <c r="L37" t="e">
        <f>AND(#REF!,"AAAAAFj+7ws=")</f>
        <v>#REF!</v>
      </c>
      <c r="M37" t="e">
        <f>AND(#REF!,"AAAAAFj+7ww=")</f>
        <v>#REF!</v>
      </c>
      <c r="N37" t="e">
        <f>AND(#REF!,"AAAAAFj+7w0=")</f>
        <v>#REF!</v>
      </c>
      <c r="O37" t="e">
        <f>AND(#REF!,"AAAAAFj+7w4=")</f>
        <v>#REF!</v>
      </c>
      <c r="P37" t="e">
        <f>AND(#REF!,"AAAAAFj+7w8=")</f>
        <v>#REF!</v>
      </c>
      <c r="Q37" t="e">
        <f>IF(#REF!,"AAAAAFj+7xA=",0)</f>
        <v>#REF!</v>
      </c>
      <c r="R37" t="e">
        <f>AND(#REF!,"AAAAAFj+7xE=")</f>
        <v>#REF!</v>
      </c>
      <c r="S37" t="e">
        <f>AND(#REF!,"AAAAAFj+7xI=")</f>
        <v>#REF!</v>
      </c>
      <c r="T37" t="e">
        <f>AND(#REF!,"AAAAAFj+7xM=")</f>
        <v>#REF!</v>
      </c>
      <c r="U37" t="e">
        <f>AND(#REF!,"AAAAAFj+7xQ=")</f>
        <v>#REF!</v>
      </c>
      <c r="V37" t="e">
        <f>AND(#REF!,"AAAAAFj+7xU=")</f>
        <v>#REF!</v>
      </c>
      <c r="W37" t="e">
        <f>AND(#REF!,"AAAAAFj+7xY=")</f>
        <v>#REF!</v>
      </c>
      <c r="X37" t="e">
        <f>AND(#REF!,"AAAAAFj+7xc=")</f>
        <v>#REF!</v>
      </c>
      <c r="Y37" t="e">
        <f>AND(#REF!,"AAAAAFj+7xg=")</f>
        <v>#REF!</v>
      </c>
      <c r="Z37" t="e">
        <f>AND(#REF!,"AAAAAFj+7xk=")</f>
        <v>#REF!</v>
      </c>
      <c r="AA37" t="e">
        <f>AND(#REF!,"AAAAAFj+7xo=")</f>
        <v>#REF!</v>
      </c>
      <c r="AB37" t="e">
        <f>AND(#REF!,"AAAAAFj+7xs=")</f>
        <v>#REF!</v>
      </c>
      <c r="AC37" t="e">
        <f>AND(#REF!,"AAAAAFj+7xw=")</f>
        <v>#REF!</v>
      </c>
      <c r="AD37" t="e">
        <f>AND(#REF!,"AAAAAFj+7x0=")</f>
        <v>#REF!</v>
      </c>
      <c r="AE37" t="e">
        <f>AND(#REF!,"AAAAAFj+7x4=")</f>
        <v>#REF!</v>
      </c>
      <c r="AF37" t="e">
        <f>AND(#REF!,"AAAAAFj+7x8=")</f>
        <v>#REF!</v>
      </c>
      <c r="AG37" t="e">
        <f>AND(#REF!,"AAAAAFj+7yA=")</f>
        <v>#REF!</v>
      </c>
      <c r="AH37" t="e">
        <f>AND(#REF!,"AAAAAFj+7yE=")</f>
        <v>#REF!</v>
      </c>
      <c r="AI37" t="e">
        <f>AND(#REF!,"AAAAAFj+7yI=")</f>
        <v>#REF!</v>
      </c>
      <c r="AJ37" t="e">
        <f>AND(#REF!,"AAAAAFj+7yM=")</f>
        <v>#REF!</v>
      </c>
      <c r="AK37" t="e">
        <f>AND(#REF!,"AAAAAFj+7yQ=")</f>
        <v>#REF!</v>
      </c>
      <c r="AL37" t="e">
        <f>AND(#REF!,"AAAAAFj+7yU=")</f>
        <v>#REF!</v>
      </c>
      <c r="AM37" t="e">
        <f>AND(#REF!,"AAAAAFj+7yY=")</f>
        <v>#REF!</v>
      </c>
      <c r="AN37" t="e">
        <f>AND(#REF!,"AAAAAFj+7yc=")</f>
        <v>#REF!</v>
      </c>
      <c r="AO37" t="e">
        <f>AND(#REF!,"AAAAAFj+7yg=")</f>
        <v>#REF!</v>
      </c>
      <c r="AP37" t="e">
        <f>AND(#REF!,"AAAAAFj+7yk=")</f>
        <v>#REF!</v>
      </c>
      <c r="AQ37" t="e">
        <f>AND(#REF!,"AAAAAFj+7yo=")</f>
        <v>#REF!</v>
      </c>
      <c r="AR37" t="e">
        <f>AND(#REF!,"AAAAAFj+7ys=")</f>
        <v>#REF!</v>
      </c>
      <c r="AS37" t="e">
        <f>AND(#REF!,"AAAAAFj+7yw=")</f>
        <v>#REF!</v>
      </c>
      <c r="AT37" t="e">
        <f>AND(#REF!,"AAAAAFj+7y0=")</f>
        <v>#REF!</v>
      </c>
      <c r="AU37" t="e">
        <f>AND(#REF!,"AAAAAFj+7y4=")</f>
        <v>#REF!</v>
      </c>
      <c r="AV37" t="e">
        <f>AND(#REF!,"AAAAAFj+7y8=")</f>
        <v>#REF!</v>
      </c>
      <c r="AW37" t="e">
        <f>AND(#REF!,"AAAAAFj+7zA=")</f>
        <v>#REF!</v>
      </c>
      <c r="AX37" t="e">
        <f>AND(#REF!,"AAAAAFj+7zE=")</f>
        <v>#REF!</v>
      </c>
      <c r="AY37" t="e">
        <f>AND(#REF!,"AAAAAFj+7zI=")</f>
        <v>#REF!</v>
      </c>
      <c r="AZ37" t="e">
        <f>AND(#REF!,"AAAAAFj+7zM=")</f>
        <v>#REF!</v>
      </c>
      <c r="BA37" t="e">
        <f>AND(#REF!,"AAAAAFj+7zQ=")</f>
        <v>#REF!</v>
      </c>
      <c r="BB37" t="e">
        <f>AND(#REF!,"AAAAAFj+7zU=")</f>
        <v>#REF!</v>
      </c>
      <c r="BC37" t="e">
        <f>AND(#REF!,"AAAAAFj+7zY=")</f>
        <v>#REF!</v>
      </c>
      <c r="BD37" t="e">
        <f>AND(#REF!,"AAAAAFj+7zc=")</f>
        <v>#REF!</v>
      </c>
      <c r="BE37" t="e">
        <f>AND(#REF!,"AAAAAFj+7zg=")</f>
        <v>#REF!</v>
      </c>
      <c r="BF37" t="e">
        <f>AND(#REF!,"AAAAAFj+7zk=")</f>
        <v>#REF!</v>
      </c>
      <c r="BG37" t="e">
        <f>AND(#REF!,"AAAAAFj+7zo=")</f>
        <v>#REF!</v>
      </c>
      <c r="BH37" t="e">
        <f>AND(#REF!,"AAAAAFj+7zs=")</f>
        <v>#REF!</v>
      </c>
      <c r="BI37" t="e">
        <f>AND(#REF!,"AAAAAFj+7zw=")</f>
        <v>#REF!</v>
      </c>
      <c r="BJ37" t="e">
        <f>AND(#REF!,"AAAAAFj+7z0=")</f>
        <v>#REF!</v>
      </c>
      <c r="BK37" t="e">
        <f>AND(#REF!,"AAAAAFj+7z4=")</f>
        <v>#REF!</v>
      </c>
      <c r="BL37" t="e">
        <f>AND(#REF!,"AAAAAFj+7z8=")</f>
        <v>#REF!</v>
      </c>
      <c r="BM37" t="e">
        <f>AND(#REF!,"AAAAAFj+70A=")</f>
        <v>#REF!</v>
      </c>
      <c r="BN37" t="e">
        <f>AND(#REF!,"AAAAAFj+70E=")</f>
        <v>#REF!</v>
      </c>
      <c r="BO37" t="e">
        <f>AND(#REF!,"AAAAAFj+70I=")</f>
        <v>#REF!</v>
      </c>
      <c r="BP37" t="e">
        <f>AND(#REF!,"AAAAAFj+70M=")</f>
        <v>#REF!</v>
      </c>
      <c r="BQ37" t="e">
        <f>AND(#REF!,"AAAAAFj+70Q=")</f>
        <v>#REF!</v>
      </c>
      <c r="BR37" t="e">
        <f>AND(#REF!,"AAAAAFj+70U=")</f>
        <v>#REF!</v>
      </c>
      <c r="BS37" t="e">
        <f>AND(#REF!,"AAAAAFj+70Y=")</f>
        <v>#REF!</v>
      </c>
      <c r="BT37" t="e">
        <f>AND(#REF!,"AAAAAFj+70c=")</f>
        <v>#REF!</v>
      </c>
      <c r="BU37" t="e">
        <f>AND(#REF!,"AAAAAFj+70g=")</f>
        <v>#REF!</v>
      </c>
      <c r="BV37" t="e">
        <f>AND(#REF!,"AAAAAFj+70k=")</f>
        <v>#REF!</v>
      </c>
      <c r="BW37" t="e">
        <f>AND(#REF!,"AAAAAFj+70o=")</f>
        <v>#REF!</v>
      </c>
      <c r="BX37" t="e">
        <f>AND(#REF!,"AAAAAFj+70s=")</f>
        <v>#REF!</v>
      </c>
      <c r="BY37" t="e">
        <f>AND(#REF!,"AAAAAFj+70w=")</f>
        <v>#REF!</v>
      </c>
      <c r="BZ37" t="e">
        <f>AND(#REF!,"AAAAAFj+700=")</f>
        <v>#REF!</v>
      </c>
      <c r="CA37" t="e">
        <f>AND(#REF!,"AAAAAFj+704=")</f>
        <v>#REF!</v>
      </c>
      <c r="CB37" t="e">
        <f>AND(#REF!,"AAAAAFj+708=")</f>
        <v>#REF!</v>
      </c>
      <c r="CC37" t="e">
        <f>AND(#REF!,"AAAAAFj+71A=")</f>
        <v>#REF!</v>
      </c>
      <c r="CD37" t="e">
        <f>AND(#REF!,"AAAAAFj+71E=")</f>
        <v>#REF!</v>
      </c>
      <c r="CE37" t="e">
        <f>AND(#REF!,"AAAAAFj+71I=")</f>
        <v>#REF!</v>
      </c>
      <c r="CF37" t="e">
        <f>AND(#REF!,"AAAAAFj+71M=")</f>
        <v>#REF!</v>
      </c>
      <c r="CG37" t="e">
        <f>AND(#REF!,"AAAAAFj+71Q=")</f>
        <v>#REF!</v>
      </c>
      <c r="CH37" t="e">
        <f>AND(#REF!,"AAAAAFj+71U=")</f>
        <v>#REF!</v>
      </c>
      <c r="CI37" t="e">
        <f>AND(#REF!,"AAAAAFj+71Y=")</f>
        <v>#REF!</v>
      </c>
      <c r="CJ37" t="e">
        <f>AND(#REF!,"AAAAAFj+71c=")</f>
        <v>#REF!</v>
      </c>
      <c r="CK37" t="e">
        <f>AND(#REF!,"AAAAAFj+71g=")</f>
        <v>#REF!</v>
      </c>
      <c r="CL37" t="e">
        <f>AND(#REF!,"AAAAAFj+71k=")</f>
        <v>#REF!</v>
      </c>
      <c r="CM37" t="e">
        <f>AND(#REF!,"AAAAAFj+71o=")</f>
        <v>#REF!</v>
      </c>
      <c r="CN37" t="e">
        <f>IF(#REF!,"AAAAAFj+71s=",0)</f>
        <v>#REF!</v>
      </c>
      <c r="CO37" t="e">
        <f>AND(#REF!,"AAAAAFj+71w=")</f>
        <v>#REF!</v>
      </c>
      <c r="CP37" t="e">
        <f>AND(#REF!,"AAAAAFj+710=")</f>
        <v>#REF!</v>
      </c>
      <c r="CQ37" t="e">
        <f>AND(#REF!,"AAAAAFj+714=")</f>
        <v>#REF!</v>
      </c>
      <c r="CR37" t="e">
        <f>AND(#REF!,"AAAAAFj+718=")</f>
        <v>#REF!</v>
      </c>
      <c r="CS37" t="e">
        <f>AND(#REF!,"AAAAAFj+72A=")</f>
        <v>#REF!</v>
      </c>
      <c r="CT37" t="e">
        <f>AND(#REF!,"AAAAAFj+72E=")</f>
        <v>#REF!</v>
      </c>
      <c r="CU37" t="e">
        <f>AND(#REF!,"AAAAAFj+72I=")</f>
        <v>#REF!</v>
      </c>
      <c r="CV37" t="e">
        <f>AND(#REF!,"AAAAAFj+72M=")</f>
        <v>#REF!</v>
      </c>
      <c r="CW37" t="e">
        <f>AND(#REF!,"AAAAAFj+72Q=")</f>
        <v>#REF!</v>
      </c>
      <c r="CX37" t="e">
        <f>AND(#REF!,"AAAAAFj+72U=")</f>
        <v>#REF!</v>
      </c>
      <c r="CY37" t="e">
        <f>AND(#REF!,"AAAAAFj+72Y=")</f>
        <v>#REF!</v>
      </c>
      <c r="CZ37" t="e">
        <f>AND(#REF!,"AAAAAFj+72c=")</f>
        <v>#REF!</v>
      </c>
      <c r="DA37" t="e">
        <f>AND(#REF!,"AAAAAFj+72g=")</f>
        <v>#REF!</v>
      </c>
      <c r="DB37" t="e">
        <f>AND(#REF!,"AAAAAFj+72k=")</f>
        <v>#REF!</v>
      </c>
      <c r="DC37" t="e">
        <f>AND(#REF!,"AAAAAFj+72o=")</f>
        <v>#REF!</v>
      </c>
      <c r="DD37" t="e">
        <f>AND(#REF!,"AAAAAFj+72s=")</f>
        <v>#REF!</v>
      </c>
      <c r="DE37" t="e">
        <f>AND(#REF!,"AAAAAFj+72w=")</f>
        <v>#REF!</v>
      </c>
      <c r="DF37" t="e">
        <f>AND(#REF!,"AAAAAFj+720=")</f>
        <v>#REF!</v>
      </c>
      <c r="DG37" t="e">
        <f>AND(#REF!,"AAAAAFj+724=")</f>
        <v>#REF!</v>
      </c>
      <c r="DH37" t="e">
        <f>AND(#REF!,"AAAAAFj+728=")</f>
        <v>#REF!</v>
      </c>
      <c r="DI37" t="e">
        <f>AND(#REF!,"AAAAAFj+73A=")</f>
        <v>#REF!</v>
      </c>
      <c r="DJ37" t="e">
        <f>AND(#REF!,"AAAAAFj+73E=")</f>
        <v>#REF!</v>
      </c>
      <c r="DK37" t="e">
        <f>AND(#REF!,"AAAAAFj+73I=")</f>
        <v>#REF!</v>
      </c>
      <c r="DL37" t="e">
        <f>AND(#REF!,"AAAAAFj+73M=")</f>
        <v>#REF!</v>
      </c>
      <c r="DM37" t="e">
        <f>AND(#REF!,"AAAAAFj+73Q=")</f>
        <v>#REF!</v>
      </c>
      <c r="DN37" t="e">
        <f>AND(#REF!,"AAAAAFj+73U=")</f>
        <v>#REF!</v>
      </c>
      <c r="DO37" t="e">
        <f>AND(#REF!,"AAAAAFj+73Y=")</f>
        <v>#REF!</v>
      </c>
      <c r="DP37" t="e">
        <f>AND(#REF!,"AAAAAFj+73c=")</f>
        <v>#REF!</v>
      </c>
      <c r="DQ37" t="e">
        <f>AND(#REF!,"AAAAAFj+73g=")</f>
        <v>#REF!</v>
      </c>
      <c r="DR37" t="e">
        <f>AND(#REF!,"AAAAAFj+73k=")</f>
        <v>#REF!</v>
      </c>
      <c r="DS37" t="e">
        <f>AND(#REF!,"AAAAAFj+73o=")</f>
        <v>#REF!</v>
      </c>
      <c r="DT37" t="e">
        <f>AND(#REF!,"AAAAAFj+73s=")</f>
        <v>#REF!</v>
      </c>
      <c r="DU37" t="e">
        <f>AND(#REF!,"AAAAAFj+73w=")</f>
        <v>#REF!</v>
      </c>
      <c r="DV37" t="e">
        <f>AND(#REF!,"AAAAAFj+730=")</f>
        <v>#REF!</v>
      </c>
      <c r="DW37" t="e">
        <f>AND(#REF!,"AAAAAFj+734=")</f>
        <v>#REF!</v>
      </c>
      <c r="DX37" t="e">
        <f>AND(#REF!,"AAAAAFj+738=")</f>
        <v>#REF!</v>
      </c>
      <c r="DY37" t="e">
        <f>AND(#REF!,"AAAAAFj+74A=")</f>
        <v>#REF!</v>
      </c>
      <c r="DZ37" t="e">
        <f>AND(#REF!,"AAAAAFj+74E=")</f>
        <v>#REF!</v>
      </c>
      <c r="EA37" t="e">
        <f>AND(#REF!,"AAAAAFj+74I=")</f>
        <v>#REF!</v>
      </c>
      <c r="EB37" t="e">
        <f>AND(#REF!,"AAAAAFj+74M=")</f>
        <v>#REF!</v>
      </c>
      <c r="EC37" t="e">
        <f>AND(#REF!,"AAAAAFj+74Q=")</f>
        <v>#REF!</v>
      </c>
      <c r="ED37" t="e">
        <f>AND(#REF!,"AAAAAFj+74U=")</f>
        <v>#REF!</v>
      </c>
      <c r="EE37" t="e">
        <f>AND(#REF!,"AAAAAFj+74Y=")</f>
        <v>#REF!</v>
      </c>
      <c r="EF37" t="e">
        <f>AND(#REF!,"AAAAAFj+74c=")</f>
        <v>#REF!</v>
      </c>
      <c r="EG37" t="e">
        <f>AND(#REF!,"AAAAAFj+74g=")</f>
        <v>#REF!</v>
      </c>
      <c r="EH37" t="e">
        <f>AND(#REF!,"AAAAAFj+74k=")</f>
        <v>#REF!</v>
      </c>
      <c r="EI37" t="e">
        <f>AND(#REF!,"AAAAAFj+74o=")</f>
        <v>#REF!</v>
      </c>
      <c r="EJ37" t="e">
        <f>AND(#REF!,"AAAAAFj+74s=")</f>
        <v>#REF!</v>
      </c>
      <c r="EK37" t="e">
        <f>AND(#REF!,"AAAAAFj+74w=")</f>
        <v>#REF!</v>
      </c>
      <c r="EL37" t="e">
        <f>AND(#REF!,"AAAAAFj+740=")</f>
        <v>#REF!</v>
      </c>
      <c r="EM37" t="e">
        <f>AND(#REF!,"AAAAAFj+744=")</f>
        <v>#REF!</v>
      </c>
      <c r="EN37" t="e">
        <f>AND(#REF!,"AAAAAFj+748=")</f>
        <v>#REF!</v>
      </c>
      <c r="EO37" t="e">
        <f>AND(#REF!,"AAAAAFj+75A=")</f>
        <v>#REF!</v>
      </c>
      <c r="EP37" t="e">
        <f>AND(#REF!,"AAAAAFj+75E=")</f>
        <v>#REF!</v>
      </c>
      <c r="EQ37" t="e">
        <f>AND(#REF!,"AAAAAFj+75I=")</f>
        <v>#REF!</v>
      </c>
      <c r="ER37" t="e">
        <f>AND(#REF!,"AAAAAFj+75M=")</f>
        <v>#REF!</v>
      </c>
      <c r="ES37" t="e">
        <f>AND(#REF!,"AAAAAFj+75Q=")</f>
        <v>#REF!</v>
      </c>
      <c r="ET37" t="e">
        <f>AND(#REF!,"AAAAAFj+75U=")</f>
        <v>#REF!</v>
      </c>
      <c r="EU37" t="e">
        <f>AND(#REF!,"AAAAAFj+75Y=")</f>
        <v>#REF!</v>
      </c>
      <c r="EV37" t="e">
        <f>AND(#REF!,"AAAAAFj+75c=")</f>
        <v>#REF!</v>
      </c>
      <c r="EW37" t="e">
        <f>AND(#REF!,"AAAAAFj+75g=")</f>
        <v>#REF!</v>
      </c>
      <c r="EX37" t="e">
        <f>AND(#REF!,"AAAAAFj+75k=")</f>
        <v>#REF!</v>
      </c>
      <c r="EY37" t="e">
        <f>AND(#REF!,"AAAAAFj+75o=")</f>
        <v>#REF!</v>
      </c>
      <c r="EZ37" t="e">
        <f>AND(#REF!,"AAAAAFj+75s=")</f>
        <v>#REF!</v>
      </c>
      <c r="FA37" t="e">
        <f>AND(#REF!,"AAAAAFj+75w=")</f>
        <v>#REF!</v>
      </c>
      <c r="FB37" t="e">
        <f>AND(#REF!,"AAAAAFj+750=")</f>
        <v>#REF!</v>
      </c>
      <c r="FC37" t="e">
        <f>AND(#REF!,"AAAAAFj+754=")</f>
        <v>#REF!</v>
      </c>
      <c r="FD37" t="e">
        <f>AND(#REF!,"AAAAAFj+758=")</f>
        <v>#REF!</v>
      </c>
      <c r="FE37" t="e">
        <f>AND(#REF!,"AAAAAFj+76A=")</f>
        <v>#REF!</v>
      </c>
      <c r="FF37" t="e">
        <f>AND(#REF!,"AAAAAFj+76E=")</f>
        <v>#REF!</v>
      </c>
      <c r="FG37" t="e">
        <f>AND(#REF!,"AAAAAFj+76I=")</f>
        <v>#REF!</v>
      </c>
      <c r="FH37" t="e">
        <f>AND(#REF!,"AAAAAFj+76M=")</f>
        <v>#REF!</v>
      </c>
      <c r="FI37" t="e">
        <f>AND(#REF!,"AAAAAFj+76Q=")</f>
        <v>#REF!</v>
      </c>
      <c r="FJ37" t="e">
        <f>AND(#REF!,"AAAAAFj+76U=")</f>
        <v>#REF!</v>
      </c>
      <c r="FK37" t="e">
        <f>IF(#REF!,"AAAAAFj+76Y=",0)</f>
        <v>#REF!</v>
      </c>
      <c r="FL37" t="e">
        <f>AND(#REF!,"AAAAAFj+76c=")</f>
        <v>#REF!</v>
      </c>
      <c r="FM37" t="e">
        <f>AND(#REF!,"AAAAAFj+76g=")</f>
        <v>#REF!</v>
      </c>
      <c r="FN37" t="e">
        <f>AND(#REF!,"AAAAAFj+76k=")</f>
        <v>#REF!</v>
      </c>
      <c r="FO37" t="e">
        <f>AND(#REF!,"AAAAAFj+76o=")</f>
        <v>#REF!</v>
      </c>
      <c r="FP37" t="e">
        <f>AND(#REF!,"AAAAAFj+76s=")</f>
        <v>#REF!</v>
      </c>
      <c r="FQ37" t="e">
        <f>AND(#REF!,"AAAAAFj+76w=")</f>
        <v>#REF!</v>
      </c>
      <c r="FR37" t="e">
        <f>AND(#REF!,"AAAAAFj+760=")</f>
        <v>#REF!</v>
      </c>
      <c r="FS37" t="e">
        <f>AND(#REF!,"AAAAAFj+764=")</f>
        <v>#REF!</v>
      </c>
      <c r="FT37" t="e">
        <f>AND(#REF!,"AAAAAFj+768=")</f>
        <v>#REF!</v>
      </c>
      <c r="FU37" t="e">
        <f>AND(#REF!,"AAAAAFj+77A=")</f>
        <v>#REF!</v>
      </c>
      <c r="FV37" t="e">
        <f>AND(#REF!,"AAAAAFj+77E=")</f>
        <v>#REF!</v>
      </c>
      <c r="FW37" t="e">
        <f>AND(#REF!,"AAAAAFj+77I=")</f>
        <v>#REF!</v>
      </c>
      <c r="FX37" t="e">
        <f>AND(#REF!,"AAAAAFj+77M=")</f>
        <v>#REF!</v>
      </c>
      <c r="FY37" t="e">
        <f>AND(#REF!,"AAAAAFj+77Q=")</f>
        <v>#REF!</v>
      </c>
      <c r="FZ37" t="e">
        <f>AND(#REF!,"AAAAAFj+77U=")</f>
        <v>#REF!</v>
      </c>
      <c r="GA37" t="e">
        <f>AND(#REF!,"AAAAAFj+77Y=")</f>
        <v>#REF!</v>
      </c>
      <c r="GB37" t="e">
        <f>AND(#REF!,"AAAAAFj+77c=")</f>
        <v>#REF!</v>
      </c>
      <c r="GC37" t="e">
        <f>AND(#REF!,"AAAAAFj+77g=")</f>
        <v>#REF!</v>
      </c>
      <c r="GD37" t="e">
        <f>AND(#REF!,"AAAAAFj+77k=")</f>
        <v>#REF!</v>
      </c>
      <c r="GE37" t="e">
        <f>AND(#REF!,"AAAAAFj+77o=")</f>
        <v>#REF!</v>
      </c>
      <c r="GF37" t="e">
        <f>AND(#REF!,"AAAAAFj+77s=")</f>
        <v>#REF!</v>
      </c>
      <c r="GG37" t="e">
        <f>AND(#REF!,"AAAAAFj+77w=")</f>
        <v>#REF!</v>
      </c>
      <c r="GH37" t="e">
        <f>AND(#REF!,"AAAAAFj+770=")</f>
        <v>#REF!</v>
      </c>
      <c r="GI37" t="e">
        <f>AND(#REF!,"AAAAAFj+774=")</f>
        <v>#REF!</v>
      </c>
      <c r="GJ37" t="e">
        <f>AND(#REF!,"AAAAAFj+778=")</f>
        <v>#REF!</v>
      </c>
      <c r="GK37" t="e">
        <f>AND(#REF!,"AAAAAFj+78A=")</f>
        <v>#REF!</v>
      </c>
      <c r="GL37" t="e">
        <f>AND(#REF!,"AAAAAFj+78E=")</f>
        <v>#REF!</v>
      </c>
      <c r="GM37" t="e">
        <f>AND(#REF!,"AAAAAFj+78I=")</f>
        <v>#REF!</v>
      </c>
      <c r="GN37" t="e">
        <f>AND(#REF!,"AAAAAFj+78M=")</f>
        <v>#REF!</v>
      </c>
      <c r="GO37" t="e">
        <f>AND(#REF!,"AAAAAFj+78Q=")</f>
        <v>#REF!</v>
      </c>
      <c r="GP37" t="e">
        <f>AND(#REF!,"AAAAAFj+78U=")</f>
        <v>#REF!</v>
      </c>
      <c r="GQ37" t="e">
        <f>AND(#REF!,"AAAAAFj+78Y=")</f>
        <v>#REF!</v>
      </c>
      <c r="GR37" t="e">
        <f>AND(#REF!,"AAAAAFj+78c=")</f>
        <v>#REF!</v>
      </c>
      <c r="GS37" t="e">
        <f>AND(#REF!,"AAAAAFj+78g=")</f>
        <v>#REF!</v>
      </c>
      <c r="GT37" t="e">
        <f>AND(#REF!,"AAAAAFj+78k=")</f>
        <v>#REF!</v>
      </c>
      <c r="GU37" t="e">
        <f>AND(#REF!,"AAAAAFj+78o=")</f>
        <v>#REF!</v>
      </c>
      <c r="GV37" t="e">
        <f>AND(#REF!,"AAAAAFj+78s=")</f>
        <v>#REF!</v>
      </c>
      <c r="GW37" t="e">
        <f>AND(#REF!,"AAAAAFj+78w=")</f>
        <v>#REF!</v>
      </c>
      <c r="GX37" t="e">
        <f>AND(#REF!,"AAAAAFj+780=")</f>
        <v>#REF!</v>
      </c>
      <c r="GY37" t="e">
        <f>AND(#REF!,"AAAAAFj+784=")</f>
        <v>#REF!</v>
      </c>
      <c r="GZ37" t="e">
        <f>AND(#REF!,"AAAAAFj+788=")</f>
        <v>#REF!</v>
      </c>
      <c r="HA37" t="e">
        <f>AND(#REF!,"AAAAAFj+79A=")</f>
        <v>#REF!</v>
      </c>
      <c r="HB37" t="e">
        <f>AND(#REF!,"AAAAAFj+79E=")</f>
        <v>#REF!</v>
      </c>
      <c r="HC37" t="e">
        <f>AND(#REF!,"AAAAAFj+79I=")</f>
        <v>#REF!</v>
      </c>
      <c r="HD37" t="e">
        <f>AND(#REF!,"AAAAAFj+79M=")</f>
        <v>#REF!</v>
      </c>
      <c r="HE37" t="e">
        <f>AND(#REF!,"AAAAAFj+79Q=")</f>
        <v>#REF!</v>
      </c>
      <c r="HF37" t="e">
        <f>AND(#REF!,"AAAAAFj+79U=")</f>
        <v>#REF!</v>
      </c>
      <c r="HG37" t="e">
        <f>AND(#REF!,"AAAAAFj+79Y=")</f>
        <v>#REF!</v>
      </c>
      <c r="HH37" t="e">
        <f>AND(#REF!,"AAAAAFj+79c=")</f>
        <v>#REF!</v>
      </c>
      <c r="HI37" t="e">
        <f>AND(#REF!,"AAAAAFj+79g=")</f>
        <v>#REF!</v>
      </c>
      <c r="HJ37" t="e">
        <f>AND(#REF!,"AAAAAFj+79k=")</f>
        <v>#REF!</v>
      </c>
      <c r="HK37" t="e">
        <f>AND(#REF!,"AAAAAFj+79o=")</f>
        <v>#REF!</v>
      </c>
      <c r="HL37" t="e">
        <f>AND(#REF!,"AAAAAFj+79s=")</f>
        <v>#REF!</v>
      </c>
      <c r="HM37" t="e">
        <f>AND(#REF!,"AAAAAFj+79w=")</f>
        <v>#REF!</v>
      </c>
      <c r="HN37" t="e">
        <f>AND(#REF!,"AAAAAFj+790=")</f>
        <v>#REF!</v>
      </c>
      <c r="HO37" t="e">
        <f>AND(#REF!,"AAAAAFj+794=")</f>
        <v>#REF!</v>
      </c>
      <c r="HP37" t="e">
        <f>AND(#REF!,"AAAAAFj+798=")</f>
        <v>#REF!</v>
      </c>
      <c r="HQ37" t="e">
        <f>AND(#REF!,"AAAAAFj+7+A=")</f>
        <v>#REF!</v>
      </c>
      <c r="HR37" t="e">
        <f>AND(#REF!,"AAAAAFj+7+E=")</f>
        <v>#REF!</v>
      </c>
      <c r="HS37" t="e">
        <f>AND(#REF!,"AAAAAFj+7+I=")</f>
        <v>#REF!</v>
      </c>
      <c r="HT37" t="e">
        <f>AND(#REF!,"AAAAAFj+7+M=")</f>
        <v>#REF!</v>
      </c>
      <c r="HU37" t="e">
        <f>AND(#REF!,"AAAAAFj+7+Q=")</f>
        <v>#REF!</v>
      </c>
      <c r="HV37" t="e">
        <f>AND(#REF!,"AAAAAFj+7+U=")</f>
        <v>#REF!</v>
      </c>
      <c r="HW37" t="e">
        <f>AND(#REF!,"AAAAAFj+7+Y=")</f>
        <v>#REF!</v>
      </c>
      <c r="HX37" t="e">
        <f>AND(#REF!,"AAAAAFj+7+c=")</f>
        <v>#REF!</v>
      </c>
      <c r="HY37" t="e">
        <f>AND(#REF!,"AAAAAFj+7+g=")</f>
        <v>#REF!</v>
      </c>
      <c r="HZ37" t="e">
        <f>AND(#REF!,"AAAAAFj+7+k=")</f>
        <v>#REF!</v>
      </c>
      <c r="IA37" t="e">
        <f>AND(#REF!,"AAAAAFj+7+o=")</f>
        <v>#REF!</v>
      </c>
      <c r="IB37" t="e">
        <f>AND(#REF!,"AAAAAFj+7+s=")</f>
        <v>#REF!</v>
      </c>
      <c r="IC37" t="e">
        <f>AND(#REF!,"AAAAAFj+7+w=")</f>
        <v>#REF!</v>
      </c>
      <c r="ID37" t="e">
        <f>AND(#REF!,"AAAAAFj+7+0=")</f>
        <v>#REF!</v>
      </c>
      <c r="IE37" t="e">
        <f>AND(#REF!,"AAAAAFj+7+4=")</f>
        <v>#REF!</v>
      </c>
      <c r="IF37" t="e">
        <f>AND(#REF!,"AAAAAFj+7+8=")</f>
        <v>#REF!</v>
      </c>
      <c r="IG37" t="e">
        <f>AND(#REF!,"AAAAAFj+7/A=")</f>
        <v>#REF!</v>
      </c>
      <c r="IH37" t="e">
        <f>IF(#REF!,"AAAAAFj+7/E=",0)</f>
        <v>#REF!</v>
      </c>
      <c r="II37" t="e">
        <f>AND(#REF!,"AAAAAFj+7/I=")</f>
        <v>#REF!</v>
      </c>
      <c r="IJ37" t="e">
        <f>AND(#REF!,"AAAAAFj+7/M=")</f>
        <v>#REF!</v>
      </c>
      <c r="IK37" t="e">
        <f>AND(#REF!,"AAAAAFj+7/Q=")</f>
        <v>#REF!</v>
      </c>
      <c r="IL37" t="e">
        <f>AND(#REF!,"AAAAAFj+7/U=")</f>
        <v>#REF!</v>
      </c>
      <c r="IM37" t="e">
        <f>AND(#REF!,"AAAAAFj+7/Y=")</f>
        <v>#REF!</v>
      </c>
      <c r="IN37" t="e">
        <f>AND(#REF!,"AAAAAFj+7/c=")</f>
        <v>#REF!</v>
      </c>
      <c r="IO37" t="e">
        <f>AND(#REF!,"AAAAAFj+7/g=")</f>
        <v>#REF!</v>
      </c>
      <c r="IP37" t="e">
        <f>AND(#REF!,"AAAAAFj+7/k=")</f>
        <v>#REF!</v>
      </c>
      <c r="IQ37" t="e">
        <f>AND(#REF!,"AAAAAFj+7/o=")</f>
        <v>#REF!</v>
      </c>
      <c r="IR37" t="e">
        <f>AND(#REF!,"AAAAAFj+7/s=")</f>
        <v>#REF!</v>
      </c>
      <c r="IS37" t="e">
        <f>AND(#REF!,"AAAAAFj+7/w=")</f>
        <v>#REF!</v>
      </c>
      <c r="IT37" t="e">
        <f>AND(#REF!,"AAAAAFj+7/0=")</f>
        <v>#REF!</v>
      </c>
      <c r="IU37" t="e">
        <f>AND(#REF!,"AAAAAFj+7/4=")</f>
        <v>#REF!</v>
      </c>
      <c r="IV37" t="e">
        <f>AND(#REF!,"AAAAAFj+7/8=")</f>
        <v>#REF!</v>
      </c>
    </row>
    <row r="38" spans="1:256" x14ac:dyDescent="0.2">
      <c r="A38" t="e">
        <f>AND(#REF!,"AAAAAHt+7wA=")</f>
        <v>#REF!</v>
      </c>
      <c r="B38" t="e">
        <f>AND(#REF!,"AAAAAHt+7wE=")</f>
        <v>#REF!</v>
      </c>
      <c r="C38" t="e">
        <f>AND(#REF!,"AAAAAHt+7wI=")</f>
        <v>#REF!</v>
      </c>
      <c r="D38" t="e">
        <f>AND(#REF!,"AAAAAHt+7wM=")</f>
        <v>#REF!</v>
      </c>
      <c r="E38" t="e">
        <f>AND(#REF!,"AAAAAHt+7wQ=")</f>
        <v>#REF!</v>
      </c>
      <c r="F38" t="e">
        <f>AND(#REF!,"AAAAAHt+7wU=")</f>
        <v>#REF!</v>
      </c>
      <c r="G38" t="e">
        <f>AND(#REF!,"AAAAAHt+7wY=")</f>
        <v>#REF!</v>
      </c>
      <c r="H38" t="e">
        <f>AND(#REF!,"AAAAAHt+7wc=")</f>
        <v>#REF!</v>
      </c>
      <c r="I38" t="e">
        <f>AND(#REF!,"AAAAAHt+7wg=")</f>
        <v>#REF!</v>
      </c>
      <c r="J38" t="e">
        <f>AND(#REF!,"AAAAAHt+7wk=")</f>
        <v>#REF!</v>
      </c>
      <c r="K38" t="e">
        <f>AND(#REF!,"AAAAAHt+7wo=")</f>
        <v>#REF!</v>
      </c>
      <c r="L38" t="e">
        <f>AND(#REF!,"AAAAAHt+7ws=")</f>
        <v>#REF!</v>
      </c>
      <c r="M38" t="e">
        <f>AND(#REF!,"AAAAAHt+7ww=")</f>
        <v>#REF!</v>
      </c>
      <c r="N38" t="e">
        <f>AND(#REF!,"AAAAAHt+7w0=")</f>
        <v>#REF!</v>
      </c>
      <c r="O38" t="e">
        <f>AND(#REF!,"AAAAAHt+7w4=")</f>
        <v>#REF!</v>
      </c>
      <c r="P38" t="e">
        <f>AND(#REF!,"AAAAAHt+7w8=")</f>
        <v>#REF!</v>
      </c>
      <c r="Q38" t="e">
        <f>AND(#REF!,"AAAAAHt+7xA=")</f>
        <v>#REF!</v>
      </c>
      <c r="R38" t="e">
        <f>AND(#REF!,"AAAAAHt+7xE=")</f>
        <v>#REF!</v>
      </c>
      <c r="S38" t="e">
        <f>AND(#REF!,"AAAAAHt+7xI=")</f>
        <v>#REF!</v>
      </c>
      <c r="T38" t="e">
        <f>AND(#REF!,"AAAAAHt+7xM=")</f>
        <v>#REF!</v>
      </c>
      <c r="U38" t="e">
        <f>AND(#REF!,"AAAAAHt+7xQ=")</f>
        <v>#REF!</v>
      </c>
      <c r="V38" t="e">
        <f>AND(#REF!,"AAAAAHt+7xU=")</f>
        <v>#REF!</v>
      </c>
      <c r="W38" t="e">
        <f>AND(#REF!,"AAAAAHt+7xY=")</f>
        <v>#REF!</v>
      </c>
      <c r="X38" t="e">
        <f>AND(#REF!,"AAAAAHt+7xc=")</f>
        <v>#REF!</v>
      </c>
      <c r="Y38" t="e">
        <f>AND(#REF!,"AAAAAHt+7xg=")</f>
        <v>#REF!</v>
      </c>
      <c r="Z38" t="e">
        <f>AND(#REF!,"AAAAAHt+7xk=")</f>
        <v>#REF!</v>
      </c>
      <c r="AA38" t="e">
        <f>AND(#REF!,"AAAAAHt+7xo=")</f>
        <v>#REF!</v>
      </c>
      <c r="AB38" t="e">
        <f>AND(#REF!,"AAAAAHt+7xs=")</f>
        <v>#REF!</v>
      </c>
      <c r="AC38" t="e">
        <f>AND(#REF!,"AAAAAHt+7xw=")</f>
        <v>#REF!</v>
      </c>
      <c r="AD38" t="e">
        <f>AND(#REF!,"AAAAAHt+7x0=")</f>
        <v>#REF!</v>
      </c>
      <c r="AE38" t="e">
        <f>AND(#REF!,"AAAAAHt+7x4=")</f>
        <v>#REF!</v>
      </c>
      <c r="AF38" t="e">
        <f>AND(#REF!,"AAAAAHt+7x8=")</f>
        <v>#REF!</v>
      </c>
      <c r="AG38" t="e">
        <f>AND(#REF!,"AAAAAHt+7yA=")</f>
        <v>#REF!</v>
      </c>
      <c r="AH38" t="e">
        <f>AND(#REF!,"AAAAAHt+7yE=")</f>
        <v>#REF!</v>
      </c>
      <c r="AI38" t="e">
        <f>AND(#REF!,"AAAAAHt+7yI=")</f>
        <v>#REF!</v>
      </c>
      <c r="AJ38" t="e">
        <f>AND(#REF!,"AAAAAHt+7yM=")</f>
        <v>#REF!</v>
      </c>
      <c r="AK38" t="e">
        <f>AND(#REF!,"AAAAAHt+7yQ=")</f>
        <v>#REF!</v>
      </c>
      <c r="AL38" t="e">
        <f>AND(#REF!,"AAAAAHt+7yU=")</f>
        <v>#REF!</v>
      </c>
      <c r="AM38" t="e">
        <f>AND(#REF!,"AAAAAHt+7yY=")</f>
        <v>#REF!</v>
      </c>
      <c r="AN38" t="e">
        <f>AND(#REF!,"AAAAAHt+7yc=")</f>
        <v>#REF!</v>
      </c>
      <c r="AO38" t="e">
        <f>AND(#REF!,"AAAAAHt+7yg=")</f>
        <v>#REF!</v>
      </c>
      <c r="AP38" t="e">
        <f>AND(#REF!,"AAAAAHt+7yk=")</f>
        <v>#REF!</v>
      </c>
      <c r="AQ38" t="e">
        <f>AND(#REF!,"AAAAAHt+7yo=")</f>
        <v>#REF!</v>
      </c>
      <c r="AR38" t="e">
        <f>AND(#REF!,"AAAAAHt+7ys=")</f>
        <v>#REF!</v>
      </c>
      <c r="AS38" t="e">
        <f>AND(#REF!,"AAAAAHt+7yw=")</f>
        <v>#REF!</v>
      </c>
      <c r="AT38" t="e">
        <f>AND(#REF!,"AAAAAHt+7y0=")</f>
        <v>#REF!</v>
      </c>
      <c r="AU38" t="e">
        <f>AND(#REF!,"AAAAAHt+7y4=")</f>
        <v>#REF!</v>
      </c>
      <c r="AV38" t="e">
        <f>AND(#REF!,"AAAAAHt+7y8=")</f>
        <v>#REF!</v>
      </c>
      <c r="AW38" t="e">
        <f>AND(#REF!,"AAAAAHt+7zA=")</f>
        <v>#REF!</v>
      </c>
      <c r="AX38" t="e">
        <f>AND(#REF!,"AAAAAHt+7zE=")</f>
        <v>#REF!</v>
      </c>
      <c r="AY38" t="e">
        <f>AND(#REF!,"AAAAAHt+7zI=")</f>
        <v>#REF!</v>
      </c>
      <c r="AZ38" t="e">
        <f>AND(#REF!,"AAAAAHt+7zM=")</f>
        <v>#REF!</v>
      </c>
      <c r="BA38" t="e">
        <f>AND(#REF!,"AAAAAHt+7zQ=")</f>
        <v>#REF!</v>
      </c>
      <c r="BB38" t="e">
        <f>AND(#REF!,"AAAAAHt+7zU=")</f>
        <v>#REF!</v>
      </c>
      <c r="BC38" t="e">
        <f>AND(#REF!,"AAAAAHt+7zY=")</f>
        <v>#REF!</v>
      </c>
      <c r="BD38" t="e">
        <f>AND(#REF!,"AAAAAHt+7zc=")</f>
        <v>#REF!</v>
      </c>
      <c r="BE38" t="e">
        <f>AND(#REF!,"AAAAAHt+7zg=")</f>
        <v>#REF!</v>
      </c>
      <c r="BF38" t="e">
        <f>AND(#REF!,"AAAAAHt+7zk=")</f>
        <v>#REF!</v>
      </c>
      <c r="BG38" t="e">
        <f>AND(#REF!,"AAAAAHt+7zo=")</f>
        <v>#REF!</v>
      </c>
      <c r="BH38" t="e">
        <f>AND(#REF!,"AAAAAHt+7zs=")</f>
        <v>#REF!</v>
      </c>
      <c r="BI38" t="e">
        <f>IF(#REF!,"AAAAAHt+7zw=",0)</f>
        <v>#REF!</v>
      </c>
      <c r="BJ38" t="e">
        <f>AND(#REF!,"AAAAAHt+7z0=")</f>
        <v>#REF!</v>
      </c>
      <c r="BK38" t="e">
        <f>AND(#REF!,"AAAAAHt+7z4=")</f>
        <v>#REF!</v>
      </c>
      <c r="BL38" t="e">
        <f>AND(#REF!,"AAAAAHt+7z8=")</f>
        <v>#REF!</v>
      </c>
      <c r="BM38" t="e">
        <f>AND(#REF!,"AAAAAHt+70A=")</f>
        <v>#REF!</v>
      </c>
      <c r="BN38" t="e">
        <f>AND(#REF!,"AAAAAHt+70E=")</f>
        <v>#REF!</v>
      </c>
      <c r="BO38" t="e">
        <f>AND(#REF!,"AAAAAHt+70I=")</f>
        <v>#REF!</v>
      </c>
      <c r="BP38" t="e">
        <f>AND(#REF!,"AAAAAHt+70M=")</f>
        <v>#REF!</v>
      </c>
      <c r="BQ38" t="e">
        <f>AND(#REF!,"AAAAAHt+70Q=")</f>
        <v>#REF!</v>
      </c>
      <c r="BR38" t="e">
        <f>AND(#REF!,"AAAAAHt+70U=")</f>
        <v>#REF!</v>
      </c>
      <c r="BS38" t="e">
        <f>AND(#REF!,"AAAAAHt+70Y=")</f>
        <v>#REF!</v>
      </c>
      <c r="BT38" t="e">
        <f>AND(#REF!,"AAAAAHt+70c=")</f>
        <v>#REF!</v>
      </c>
      <c r="BU38" t="e">
        <f>AND(#REF!,"AAAAAHt+70g=")</f>
        <v>#REF!</v>
      </c>
      <c r="BV38" t="e">
        <f>AND(#REF!,"AAAAAHt+70k=")</f>
        <v>#REF!</v>
      </c>
      <c r="BW38" t="e">
        <f>AND(#REF!,"AAAAAHt+70o=")</f>
        <v>#REF!</v>
      </c>
      <c r="BX38" t="e">
        <f>AND(#REF!,"AAAAAHt+70s=")</f>
        <v>#REF!</v>
      </c>
      <c r="BY38" t="e">
        <f>AND(#REF!,"AAAAAHt+70w=")</f>
        <v>#REF!</v>
      </c>
      <c r="BZ38" t="e">
        <f>AND(#REF!,"AAAAAHt+700=")</f>
        <v>#REF!</v>
      </c>
      <c r="CA38" t="e">
        <f>AND(#REF!,"AAAAAHt+704=")</f>
        <v>#REF!</v>
      </c>
      <c r="CB38" t="e">
        <f>AND(#REF!,"AAAAAHt+708=")</f>
        <v>#REF!</v>
      </c>
      <c r="CC38" t="e">
        <f>AND(#REF!,"AAAAAHt+71A=")</f>
        <v>#REF!</v>
      </c>
      <c r="CD38" t="e">
        <f>AND(#REF!,"AAAAAHt+71E=")</f>
        <v>#REF!</v>
      </c>
      <c r="CE38" t="e">
        <f>AND(#REF!,"AAAAAHt+71I=")</f>
        <v>#REF!</v>
      </c>
      <c r="CF38" t="e">
        <f>AND(#REF!,"AAAAAHt+71M=")</f>
        <v>#REF!</v>
      </c>
      <c r="CG38" t="e">
        <f>AND(#REF!,"AAAAAHt+71Q=")</f>
        <v>#REF!</v>
      </c>
      <c r="CH38" t="e">
        <f>AND(#REF!,"AAAAAHt+71U=")</f>
        <v>#REF!</v>
      </c>
      <c r="CI38" t="e">
        <f>AND(#REF!,"AAAAAHt+71Y=")</f>
        <v>#REF!</v>
      </c>
      <c r="CJ38" t="e">
        <f>AND(#REF!,"AAAAAHt+71c=")</f>
        <v>#REF!</v>
      </c>
      <c r="CK38" t="e">
        <f>AND(#REF!,"AAAAAHt+71g=")</f>
        <v>#REF!</v>
      </c>
      <c r="CL38" t="e">
        <f>AND(#REF!,"AAAAAHt+71k=")</f>
        <v>#REF!</v>
      </c>
      <c r="CM38" t="e">
        <f>AND(#REF!,"AAAAAHt+71o=")</f>
        <v>#REF!</v>
      </c>
      <c r="CN38" t="e">
        <f>AND(#REF!,"AAAAAHt+71s=")</f>
        <v>#REF!</v>
      </c>
      <c r="CO38" t="e">
        <f>AND(#REF!,"AAAAAHt+71w=")</f>
        <v>#REF!</v>
      </c>
      <c r="CP38" t="e">
        <f>AND(#REF!,"AAAAAHt+710=")</f>
        <v>#REF!</v>
      </c>
      <c r="CQ38" t="e">
        <f>AND(#REF!,"AAAAAHt+714=")</f>
        <v>#REF!</v>
      </c>
      <c r="CR38" t="e">
        <f>AND(#REF!,"AAAAAHt+718=")</f>
        <v>#REF!</v>
      </c>
      <c r="CS38" t="e">
        <f>AND(#REF!,"AAAAAHt+72A=")</f>
        <v>#REF!</v>
      </c>
      <c r="CT38" t="e">
        <f>AND(#REF!,"AAAAAHt+72E=")</f>
        <v>#REF!</v>
      </c>
      <c r="CU38" t="e">
        <f>AND(#REF!,"AAAAAHt+72I=")</f>
        <v>#REF!</v>
      </c>
      <c r="CV38" t="e">
        <f>AND(#REF!,"AAAAAHt+72M=")</f>
        <v>#REF!</v>
      </c>
      <c r="CW38" t="e">
        <f>AND(#REF!,"AAAAAHt+72Q=")</f>
        <v>#REF!</v>
      </c>
      <c r="CX38" t="e">
        <f>AND(#REF!,"AAAAAHt+72U=")</f>
        <v>#REF!</v>
      </c>
      <c r="CY38" t="e">
        <f>AND(#REF!,"AAAAAHt+72Y=")</f>
        <v>#REF!</v>
      </c>
      <c r="CZ38" t="e">
        <f>AND(#REF!,"AAAAAHt+72c=")</f>
        <v>#REF!</v>
      </c>
      <c r="DA38" t="e">
        <f>AND(#REF!,"AAAAAHt+72g=")</f>
        <v>#REF!</v>
      </c>
      <c r="DB38" t="e">
        <f>AND(#REF!,"AAAAAHt+72k=")</f>
        <v>#REF!</v>
      </c>
      <c r="DC38" t="e">
        <f>AND(#REF!,"AAAAAHt+72o=")</f>
        <v>#REF!</v>
      </c>
      <c r="DD38" t="e">
        <f>AND(#REF!,"AAAAAHt+72s=")</f>
        <v>#REF!</v>
      </c>
      <c r="DE38" t="e">
        <f>AND(#REF!,"AAAAAHt+72w=")</f>
        <v>#REF!</v>
      </c>
      <c r="DF38" t="e">
        <f>AND(#REF!,"AAAAAHt+720=")</f>
        <v>#REF!</v>
      </c>
      <c r="DG38" t="e">
        <f>AND(#REF!,"AAAAAHt+724=")</f>
        <v>#REF!</v>
      </c>
      <c r="DH38" t="e">
        <f>AND(#REF!,"AAAAAHt+728=")</f>
        <v>#REF!</v>
      </c>
      <c r="DI38" t="e">
        <f>AND(#REF!,"AAAAAHt+73A=")</f>
        <v>#REF!</v>
      </c>
      <c r="DJ38" t="e">
        <f>AND(#REF!,"AAAAAHt+73E=")</f>
        <v>#REF!</v>
      </c>
      <c r="DK38" t="e">
        <f>AND(#REF!,"AAAAAHt+73I=")</f>
        <v>#REF!</v>
      </c>
      <c r="DL38" t="e">
        <f>AND(#REF!,"AAAAAHt+73M=")</f>
        <v>#REF!</v>
      </c>
      <c r="DM38" t="e">
        <f>AND(#REF!,"AAAAAHt+73Q=")</f>
        <v>#REF!</v>
      </c>
      <c r="DN38" t="e">
        <f>AND(#REF!,"AAAAAHt+73U=")</f>
        <v>#REF!</v>
      </c>
      <c r="DO38" t="e">
        <f>AND(#REF!,"AAAAAHt+73Y=")</f>
        <v>#REF!</v>
      </c>
      <c r="DP38" t="e">
        <f>AND(#REF!,"AAAAAHt+73c=")</f>
        <v>#REF!</v>
      </c>
      <c r="DQ38" t="e">
        <f>AND(#REF!,"AAAAAHt+73g=")</f>
        <v>#REF!</v>
      </c>
      <c r="DR38" t="e">
        <f>AND(#REF!,"AAAAAHt+73k=")</f>
        <v>#REF!</v>
      </c>
      <c r="DS38" t="e">
        <f>AND(#REF!,"AAAAAHt+73o=")</f>
        <v>#REF!</v>
      </c>
      <c r="DT38" t="e">
        <f>AND(#REF!,"AAAAAHt+73s=")</f>
        <v>#REF!</v>
      </c>
      <c r="DU38" t="e">
        <f>AND(#REF!,"AAAAAHt+73w=")</f>
        <v>#REF!</v>
      </c>
      <c r="DV38" t="e">
        <f>AND(#REF!,"AAAAAHt+730=")</f>
        <v>#REF!</v>
      </c>
      <c r="DW38" t="e">
        <f>AND(#REF!,"AAAAAHt+734=")</f>
        <v>#REF!</v>
      </c>
      <c r="DX38" t="e">
        <f>AND(#REF!,"AAAAAHt+738=")</f>
        <v>#REF!</v>
      </c>
      <c r="DY38" t="e">
        <f>AND(#REF!,"AAAAAHt+74A=")</f>
        <v>#REF!</v>
      </c>
      <c r="DZ38" t="e">
        <f>AND(#REF!,"AAAAAHt+74E=")</f>
        <v>#REF!</v>
      </c>
      <c r="EA38" t="e">
        <f>AND(#REF!,"AAAAAHt+74I=")</f>
        <v>#REF!</v>
      </c>
      <c r="EB38" t="e">
        <f>AND(#REF!,"AAAAAHt+74M=")</f>
        <v>#REF!</v>
      </c>
      <c r="EC38" t="e">
        <f>AND(#REF!,"AAAAAHt+74Q=")</f>
        <v>#REF!</v>
      </c>
      <c r="ED38" t="e">
        <f>AND(#REF!,"AAAAAHt+74U=")</f>
        <v>#REF!</v>
      </c>
      <c r="EE38" t="e">
        <f>AND(#REF!,"AAAAAHt+74Y=")</f>
        <v>#REF!</v>
      </c>
      <c r="EF38" t="e">
        <f>IF(#REF!,"AAAAAHt+74c=",0)</f>
        <v>#REF!</v>
      </c>
      <c r="EG38" t="e">
        <f>AND(#REF!,"AAAAAHt+74g=")</f>
        <v>#REF!</v>
      </c>
      <c r="EH38" t="e">
        <f>AND(#REF!,"AAAAAHt+74k=")</f>
        <v>#REF!</v>
      </c>
      <c r="EI38" t="e">
        <f>AND(#REF!,"AAAAAHt+74o=")</f>
        <v>#REF!</v>
      </c>
      <c r="EJ38" t="e">
        <f>AND(#REF!,"AAAAAHt+74s=")</f>
        <v>#REF!</v>
      </c>
      <c r="EK38" t="e">
        <f>AND(#REF!,"AAAAAHt+74w=")</f>
        <v>#REF!</v>
      </c>
      <c r="EL38" t="e">
        <f>AND(#REF!,"AAAAAHt+740=")</f>
        <v>#REF!</v>
      </c>
      <c r="EM38" t="e">
        <f>AND(#REF!,"AAAAAHt+744=")</f>
        <v>#REF!</v>
      </c>
      <c r="EN38" t="e">
        <f>AND(#REF!,"AAAAAHt+748=")</f>
        <v>#REF!</v>
      </c>
      <c r="EO38" t="e">
        <f>AND(#REF!,"AAAAAHt+75A=")</f>
        <v>#REF!</v>
      </c>
      <c r="EP38" t="e">
        <f>AND(#REF!,"AAAAAHt+75E=")</f>
        <v>#REF!</v>
      </c>
      <c r="EQ38" t="e">
        <f>AND(#REF!,"AAAAAHt+75I=")</f>
        <v>#REF!</v>
      </c>
      <c r="ER38" t="e">
        <f>AND(#REF!,"AAAAAHt+75M=")</f>
        <v>#REF!</v>
      </c>
      <c r="ES38" t="e">
        <f>AND(#REF!,"AAAAAHt+75Q=")</f>
        <v>#REF!</v>
      </c>
      <c r="ET38" t="e">
        <f>AND(#REF!,"AAAAAHt+75U=")</f>
        <v>#REF!</v>
      </c>
      <c r="EU38" t="e">
        <f>AND(#REF!,"AAAAAHt+75Y=")</f>
        <v>#REF!</v>
      </c>
      <c r="EV38" t="e">
        <f>AND(#REF!,"AAAAAHt+75c=")</f>
        <v>#REF!</v>
      </c>
      <c r="EW38" t="e">
        <f>AND(#REF!,"AAAAAHt+75g=")</f>
        <v>#REF!</v>
      </c>
      <c r="EX38" t="e">
        <f>AND(#REF!,"AAAAAHt+75k=")</f>
        <v>#REF!</v>
      </c>
      <c r="EY38" t="e">
        <f>AND(#REF!,"AAAAAHt+75o=")</f>
        <v>#REF!</v>
      </c>
      <c r="EZ38" t="e">
        <f>AND(#REF!,"AAAAAHt+75s=")</f>
        <v>#REF!</v>
      </c>
      <c r="FA38" t="e">
        <f>AND(#REF!,"AAAAAHt+75w=")</f>
        <v>#REF!</v>
      </c>
      <c r="FB38" t="e">
        <f>AND(#REF!,"AAAAAHt+750=")</f>
        <v>#REF!</v>
      </c>
      <c r="FC38" t="e">
        <f>AND(#REF!,"AAAAAHt+754=")</f>
        <v>#REF!</v>
      </c>
      <c r="FD38" t="e">
        <f>AND(#REF!,"AAAAAHt+758=")</f>
        <v>#REF!</v>
      </c>
      <c r="FE38" t="e">
        <f>AND(#REF!,"AAAAAHt+76A=")</f>
        <v>#REF!</v>
      </c>
      <c r="FF38" t="e">
        <f>AND(#REF!,"AAAAAHt+76E=")</f>
        <v>#REF!</v>
      </c>
      <c r="FG38" t="e">
        <f>AND(#REF!,"AAAAAHt+76I=")</f>
        <v>#REF!</v>
      </c>
      <c r="FH38" t="e">
        <f>AND(#REF!,"AAAAAHt+76M=")</f>
        <v>#REF!</v>
      </c>
      <c r="FI38" t="e">
        <f>AND(#REF!,"AAAAAHt+76Q=")</f>
        <v>#REF!</v>
      </c>
      <c r="FJ38" t="e">
        <f>AND(#REF!,"AAAAAHt+76U=")</f>
        <v>#REF!</v>
      </c>
      <c r="FK38" t="e">
        <f>AND(#REF!,"AAAAAHt+76Y=")</f>
        <v>#REF!</v>
      </c>
      <c r="FL38" t="e">
        <f>AND(#REF!,"AAAAAHt+76c=")</f>
        <v>#REF!</v>
      </c>
      <c r="FM38" t="e">
        <f>AND(#REF!,"AAAAAHt+76g=")</f>
        <v>#REF!</v>
      </c>
      <c r="FN38" t="e">
        <f>AND(#REF!,"AAAAAHt+76k=")</f>
        <v>#REF!</v>
      </c>
      <c r="FO38" t="e">
        <f>AND(#REF!,"AAAAAHt+76o=")</f>
        <v>#REF!</v>
      </c>
      <c r="FP38" t="e">
        <f>AND(#REF!,"AAAAAHt+76s=")</f>
        <v>#REF!</v>
      </c>
      <c r="FQ38" t="e">
        <f>AND(#REF!,"AAAAAHt+76w=")</f>
        <v>#REF!</v>
      </c>
      <c r="FR38" t="e">
        <f>AND(#REF!,"AAAAAHt+760=")</f>
        <v>#REF!</v>
      </c>
      <c r="FS38" t="e">
        <f>AND(#REF!,"AAAAAHt+764=")</f>
        <v>#REF!</v>
      </c>
      <c r="FT38" t="e">
        <f>AND(#REF!,"AAAAAHt+768=")</f>
        <v>#REF!</v>
      </c>
      <c r="FU38" t="e">
        <f>AND(#REF!,"AAAAAHt+77A=")</f>
        <v>#REF!</v>
      </c>
      <c r="FV38" t="e">
        <f>AND(#REF!,"AAAAAHt+77E=")</f>
        <v>#REF!</v>
      </c>
      <c r="FW38" t="e">
        <f>AND(#REF!,"AAAAAHt+77I=")</f>
        <v>#REF!</v>
      </c>
      <c r="FX38" t="e">
        <f>AND(#REF!,"AAAAAHt+77M=")</f>
        <v>#REF!</v>
      </c>
      <c r="FY38" t="e">
        <f>AND(#REF!,"AAAAAHt+77Q=")</f>
        <v>#REF!</v>
      </c>
      <c r="FZ38" t="e">
        <f>AND(#REF!,"AAAAAHt+77U=")</f>
        <v>#REF!</v>
      </c>
      <c r="GA38" t="e">
        <f>AND(#REF!,"AAAAAHt+77Y=")</f>
        <v>#REF!</v>
      </c>
      <c r="GB38" t="e">
        <f>AND(#REF!,"AAAAAHt+77c=")</f>
        <v>#REF!</v>
      </c>
      <c r="GC38" t="e">
        <f>AND(#REF!,"AAAAAHt+77g=")</f>
        <v>#REF!</v>
      </c>
      <c r="GD38" t="e">
        <f>AND(#REF!,"AAAAAHt+77k=")</f>
        <v>#REF!</v>
      </c>
      <c r="GE38" t="e">
        <f>AND(#REF!,"AAAAAHt+77o=")</f>
        <v>#REF!</v>
      </c>
      <c r="GF38" t="e">
        <f>AND(#REF!,"AAAAAHt+77s=")</f>
        <v>#REF!</v>
      </c>
      <c r="GG38" t="e">
        <f>AND(#REF!,"AAAAAHt+77w=")</f>
        <v>#REF!</v>
      </c>
      <c r="GH38" t="e">
        <f>AND(#REF!,"AAAAAHt+770=")</f>
        <v>#REF!</v>
      </c>
      <c r="GI38" t="e">
        <f>AND(#REF!,"AAAAAHt+774=")</f>
        <v>#REF!</v>
      </c>
      <c r="GJ38" t="e">
        <f>AND(#REF!,"AAAAAHt+778=")</f>
        <v>#REF!</v>
      </c>
      <c r="GK38" t="e">
        <f>AND(#REF!,"AAAAAHt+78A=")</f>
        <v>#REF!</v>
      </c>
      <c r="GL38" t="e">
        <f>AND(#REF!,"AAAAAHt+78E=")</f>
        <v>#REF!</v>
      </c>
      <c r="GM38" t="e">
        <f>AND(#REF!,"AAAAAHt+78I=")</f>
        <v>#REF!</v>
      </c>
      <c r="GN38" t="e">
        <f>AND(#REF!,"AAAAAHt+78M=")</f>
        <v>#REF!</v>
      </c>
      <c r="GO38" t="e">
        <f>AND(#REF!,"AAAAAHt+78Q=")</f>
        <v>#REF!</v>
      </c>
      <c r="GP38" t="e">
        <f>AND(#REF!,"AAAAAHt+78U=")</f>
        <v>#REF!</v>
      </c>
      <c r="GQ38" t="e">
        <f>AND(#REF!,"AAAAAHt+78Y=")</f>
        <v>#REF!</v>
      </c>
      <c r="GR38" t="e">
        <f>AND(#REF!,"AAAAAHt+78c=")</f>
        <v>#REF!</v>
      </c>
      <c r="GS38" t="e">
        <f>AND(#REF!,"AAAAAHt+78g=")</f>
        <v>#REF!</v>
      </c>
      <c r="GT38" t="e">
        <f>AND(#REF!,"AAAAAHt+78k=")</f>
        <v>#REF!</v>
      </c>
      <c r="GU38" t="e">
        <f>AND(#REF!,"AAAAAHt+78o=")</f>
        <v>#REF!</v>
      </c>
      <c r="GV38" t="e">
        <f>AND(#REF!,"AAAAAHt+78s=")</f>
        <v>#REF!</v>
      </c>
      <c r="GW38" t="e">
        <f>AND(#REF!,"AAAAAHt+78w=")</f>
        <v>#REF!</v>
      </c>
      <c r="GX38" t="e">
        <f>AND(#REF!,"AAAAAHt+780=")</f>
        <v>#REF!</v>
      </c>
      <c r="GY38" t="e">
        <f>AND(#REF!,"AAAAAHt+784=")</f>
        <v>#REF!</v>
      </c>
      <c r="GZ38" t="e">
        <f>AND(#REF!,"AAAAAHt+788=")</f>
        <v>#REF!</v>
      </c>
      <c r="HA38" t="e">
        <f>AND(#REF!,"AAAAAHt+79A=")</f>
        <v>#REF!</v>
      </c>
      <c r="HB38" t="e">
        <f>AND(#REF!,"AAAAAHt+79E=")</f>
        <v>#REF!</v>
      </c>
      <c r="HC38" t="e">
        <f>IF(#REF!,"AAAAAHt+79I=",0)</f>
        <v>#REF!</v>
      </c>
      <c r="HD38" t="e">
        <f>AND(#REF!,"AAAAAHt+79M=")</f>
        <v>#REF!</v>
      </c>
      <c r="HE38" t="e">
        <f>AND(#REF!,"AAAAAHt+79Q=")</f>
        <v>#REF!</v>
      </c>
      <c r="HF38" t="e">
        <f>AND(#REF!,"AAAAAHt+79U=")</f>
        <v>#REF!</v>
      </c>
      <c r="HG38" t="e">
        <f>AND(#REF!,"AAAAAHt+79Y=")</f>
        <v>#REF!</v>
      </c>
      <c r="HH38" t="e">
        <f>AND(#REF!,"AAAAAHt+79c=")</f>
        <v>#REF!</v>
      </c>
      <c r="HI38" t="e">
        <f>AND(#REF!,"AAAAAHt+79g=")</f>
        <v>#REF!</v>
      </c>
      <c r="HJ38" t="e">
        <f>AND(#REF!,"AAAAAHt+79k=")</f>
        <v>#REF!</v>
      </c>
      <c r="HK38" t="e">
        <f>AND(#REF!,"AAAAAHt+79o=")</f>
        <v>#REF!</v>
      </c>
      <c r="HL38" t="e">
        <f>AND(#REF!,"AAAAAHt+79s=")</f>
        <v>#REF!</v>
      </c>
      <c r="HM38" t="e">
        <f>AND(#REF!,"AAAAAHt+79w=")</f>
        <v>#REF!</v>
      </c>
      <c r="HN38" t="e">
        <f>AND(#REF!,"AAAAAHt+790=")</f>
        <v>#REF!</v>
      </c>
      <c r="HO38" t="e">
        <f>AND(#REF!,"AAAAAHt+794=")</f>
        <v>#REF!</v>
      </c>
      <c r="HP38" t="e">
        <f>AND(#REF!,"AAAAAHt+798=")</f>
        <v>#REF!</v>
      </c>
      <c r="HQ38" t="e">
        <f>AND(#REF!,"AAAAAHt+7+A=")</f>
        <v>#REF!</v>
      </c>
      <c r="HR38" t="e">
        <f>AND(#REF!,"AAAAAHt+7+E=")</f>
        <v>#REF!</v>
      </c>
      <c r="HS38" t="e">
        <f>AND(#REF!,"AAAAAHt+7+I=")</f>
        <v>#REF!</v>
      </c>
      <c r="HT38" t="e">
        <f>AND(#REF!,"AAAAAHt+7+M=")</f>
        <v>#REF!</v>
      </c>
      <c r="HU38" t="e">
        <f>AND(#REF!,"AAAAAHt+7+Q=")</f>
        <v>#REF!</v>
      </c>
      <c r="HV38" t="e">
        <f>AND(#REF!,"AAAAAHt+7+U=")</f>
        <v>#REF!</v>
      </c>
      <c r="HW38" t="e">
        <f>AND(#REF!,"AAAAAHt+7+Y=")</f>
        <v>#REF!</v>
      </c>
      <c r="HX38" t="e">
        <f>AND(#REF!,"AAAAAHt+7+c=")</f>
        <v>#REF!</v>
      </c>
      <c r="HY38" t="e">
        <f>AND(#REF!,"AAAAAHt+7+g=")</f>
        <v>#REF!</v>
      </c>
      <c r="HZ38" t="e">
        <f>AND(#REF!,"AAAAAHt+7+k=")</f>
        <v>#REF!</v>
      </c>
      <c r="IA38" t="e">
        <f>AND(#REF!,"AAAAAHt+7+o=")</f>
        <v>#REF!</v>
      </c>
      <c r="IB38" t="e">
        <f>AND(#REF!,"AAAAAHt+7+s=")</f>
        <v>#REF!</v>
      </c>
      <c r="IC38" t="e">
        <f>AND(#REF!,"AAAAAHt+7+w=")</f>
        <v>#REF!</v>
      </c>
      <c r="ID38" t="e">
        <f>AND(#REF!,"AAAAAHt+7+0=")</f>
        <v>#REF!</v>
      </c>
      <c r="IE38" t="e">
        <f>AND(#REF!,"AAAAAHt+7+4=")</f>
        <v>#REF!</v>
      </c>
      <c r="IF38" t="e">
        <f>AND(#REF!,"AAAAAHt+7+8=")</f>
        <v>#REF!</v>
      </c>
      <c r="IG38" t="e">
        <f>AND(#REF!,"AAAAAHt+7/A=")</f>
        <v>#REF!</v>
      </c>
      <c r="IH38" t="e">
        <f>AND(#REF!,"AAAAAHt+7/E=")</f>
        <v>#REF!</v>
      </c>
      <c r="II38" t="e">
        <f>AND(#REF!,"AAAAAHt+7/I=")</f>
        <v>#REF!</v>
      </c>
      <c r="IJ38" t="e">
        <f>AND(#REF!,"AAAAAHt+7/M=")</f>
        <v>#REF!</v>
      </c>
      <c r="IK38" t="e">
        <f>AND(#REF!,"AAAAAHt+7/Q=")</f>
        <v>#REF!</v>
      </c>
      <c r="IL38" t="e">
        <f>AND(#REF!,"AAAAAHt+7/U=")</f>
        <v>#REF!</v>
      </c>
      <c r="IM38" t="e">
        <f>AND(#REF!,"AAAAAHt+7/Y=")</f>
        <v>#REF!</v>
      </c>
      <c r="IN38" t="e">
        <f>AND(#REF!,"AAAAAHt+7/c=")</f>
        <v>#REF!</v>
      </c>
      <c r="IO38" t="e">
        <f>AND(#REF!,"AAAAAHt+7/g=")</f>
        <v>#REF!</v>
      </c>
      <c r="IP38" t="e">
        <f>AND(#REF!,"AAAAAHt+7/k=")</f>
        <v>#REF!</v>
      </c>
      <c r="IQ38" t="e">
        <f>AND(#REF!,"AAAAAHt+7/o=")</f>
        <v>#REF!</v>
      </c>
      <c r="IR38" t="e">
        <f>AND(#REF!,"AAAAAHt+7/s=")</f>
        <v>#REF!</v>
      </c>
      <c r="IS38" t="e">
        <f>AND(#REF!,"AAAAAHt+7/w=")</f>
        <v>#REF!</v>
      </c>
      <c r="IT38" t="e">
        <f>AND(#REF!,"AAAAAHt+7/0=")</f>
        <v>#REF!</v>
      </c>
      <c r="IU38" t="e">
        <f>AND(#REF!,"AAAAAHt+7/4=")</f>
        <v>#REF!</v>
      </c>
      <c r="IV38" t="e">
        <f>AND(#REF!,"AAAAAHt+7/8=")</f>
        <v>#REF!</v>
      </c>
    </row>
    <row r="39" spans="1:256" x14ac:dyDescent="0.2">
      <c r="A39" t="e">
        <f>AND(#REF!,"AAAAAEc9PQA=")</f>
        <v>#REF!</v>
      </c>
      <c r="B39" t="e">
        <f>AND(#REF!,"AAAAAEc9PQE=")</f>
        <v>#REF!</v>
      </c>
      <c r="C39" t="e">
        <f>AND(#REF!,"AAAAAEc9PQI=")</f>
        <v>#REF!</v>
      </c>
      <c r="D39" t="e">
        <f>AND(#REF!,"AAAAAEc9PQM=")</f>
        <v>#REF!</v>
      </c>
      <c r="E39" t="e">
        <f>AND(#REF!,"AAAAAEc9PQQ=")</f>
        <v>#REF!</v>
      </c>
      <c r="F39" t="e">
        <f>AND(#REF!,"AAAAAEc9PQU=")</f>
        <v>#REF!</v>
      </c>
      <c r="G39" t="e">
        <f>AND(#REF!,"AAAAAEc9PQY=")</f>
        <v>#REF!</v>
      </c>
      <c r="H39" t="e">
        <f>AND(#REF!,"AAAAAEc9PQc=")</f>
        <v>#REF!</v>
      </c>
      <c r="I39" t="e">
        <f>AND(#REF!,"AAAAAEc9PQg=")</f>
        <v>#REF!</v>
      </c>
      <c r="J39" t="e">
        <f>AND(#REF!,"AAAAAEc9PQk=")</f>
        <v>#REF!</v>
      </c>
      <c r="K39" t="e">
        <f>AND(#REF!,"AAAAAEc9PQo=")</f>
        <v>#REF!</v>
      </c>
      <c r="L39" t="e">
        <f>AND(#REF!,"AAAAAEc9PQs=")</f>
        <v>#REF!</v>
      </c>
      <c r="M39" t="e">
        <f>AND(#REF!,"AAAAAEc9PQw=")</f>
        <v>#REF!</v>
      </c>
      <c r="N39" t="e">
        <f>AND(#REF!,"AAAAAEc9PQ0=")</f>
        <v>#REF!</v>
      </c>
      <c r="O39" t="e">
        <f>AND(#REF!,"AAAAAEc9PQ4=")</f>
        <v>#REF!</v>
      </c>
      <c r="P39" t="e">
        <f>AND(#REF!,"AAAAAEc9PQ8=")</f>
        <v>#REF!</v>
      </c>
      <c r="Q39" t="e">
        <f>AND(#REF!,"AAAAAEc9PRA=")</f>
        <v>#REF!</v>
      </c>
      <c r="R39" t="e">
        <f>AND(#REF!,"AAAAAEc9PRE=")</f>
        <v>#REF!</v>
      </c>
      <c r="S39" t="e">
        <f>AND(#REF!,"AAAAAEc9PRI=")</f>
        <v>#REF!</v>
      </c>
      <c r="T39" t="e">
        <f>AND(#REF!,"AAAAAEc9PRM=")</f>
        <v>#REF!</v>
      </c>
      <c r="U39" t="e">
        <f>AND(#REF!,"AAAAAEc9PRQ=")</f>
        <v>#REF!</v>
      </c>
      <c r="V39" t="e">
        <f>AND(#REF!,"AAAAAEc9PRU=")</f>
        <v>#REF!</v>
      </c>
      <c r="W39" t="e">
        <f>AND(#REF!,"AAAAAEc9PRY=")</f>
        <v>#REF!</v>
      </c>
      <c r="X39" t="e">
        <f>AND(#REF!,"AAAAAEc9PRc=")</f>
        <v>#REF!</v>
      </c>
      <c r="Y39" t="e">
        <f>AND(#REF!,"AAAAAEc9PRg=")</f>
        <v>#REF!</v>
      </c>
      <c r="Z39" t="e">
        <f>AND(#REF!,"AAAAAEc9PRk=")</f>
        <v>#REF!</v>
      </c>
      <c r="AA39" t="e">
        <f>AND(#REF!,"AAAAAEc9PRo=")</f>
        <v>#REF!</v>
      </c>
      <c r="AB39" t="e">
        <f>AND(#REF!,"AAAAAEc9PRs=")</f>
        <v>#REF!</v>
      </c>
      <c r="AC39" t="e">
        <f>AND(#REF!,"AAAAAEc9PRw=")</f>
        <v>#REF!</v>
      </c>
      <c r="AD39" t="e">
        <f>IF(#REF!,"AAAAAEc9PR0=",0)</f>
        <v>#REF!</v>
      </c>
      <c r="AE39" t="e">
        <f>AND(#REF!,"AAAAAEc9PR4=")</f>
        <v>#REF!</v>
      </c>
      <c r="AF39" t="e">
        <f>AND(#REF!,"AAAAAEc9PR8=")</f>
        <v>#REF!</v>
      </c>
      <c r="AG39" t="e">
        <f>AND(#REF!,"AAAAAEc9PSA=")</f>
        <v>#REF!</v>
      </c>
      <c r="AH39" t="e">
        <f>AND(#REF!,"AAAAAEc9PSE=")</f>
        <v>#REF!</v>
      </c>
      <c r="AI39" t="e">
        <f>AND(#REF!,"AAAAAEc9PSI=")</f>
        <v>#REF!</v>
      </c>
      <c r="AJ39" t="e">
        <f>AND(#REF!,"AAAAAEc9PSM=")</f>
        <v>#REF!</v>
      </c>
      <c r="AK39" t="e">
        <f>AND(#REF!,"AAAAAEc9PSQ=")</f>
        <v>#REF!</v>
      </c>
      <c r="AL39" t="e">
        <f>AND(#REF!,"AAAAAEc9PSU=")</f>
        <v>#REF!</v>
      </c>
      <c r="AM39" t="e">
        <f>AND(#REF!,"AAAAAEc9PSY=")</f>
        <v>#REF!</v>
      </c>
      <c r="AN39" t="e">
        <f>AND(#REF!,"AAAAAEc9PSc=")</f>
        <v>#REF!</v>
      </c>
      <c r="AO39" t="e">
        <f>AND(#REF!,"AAAAAEc9PSg=")</f>
        <v>#REF!</v>
      </c>
      <c r="AP39" t="e">
        <f>AND(#REF!,"AAAAAEc9PSk=")</f>
        <v>#REF!</v>
      </c>
      <c r="AQ39" t="e">
        <f>AND(#REF!,"AAAAAEc9PSo=")</f>
        <v>#REF!</v>
      </c>
      <c r="AR39" t="e">
        <f>AND(#REF!,"AAAAAEc9PSs=")</f>
        <v>#REF!</v>
      </c>
      <c r="AS39" t="e">
        <f>AND(#REF!,"AAAAAEc9PSw=")</f>
        <v>#REF!</v>
      </c>
      <c r="AT39" t="e">
        <f>AND(#REF!,"AAAAAEc9PS0=")</f>
        <v>#REF!</v>
      </c>
      <c r="AU39" t="e">
        <f>AND(#REF!,"AAAAAEc9PS4=")</f>
        <v>#REF!</v>
      </c>
      <c r="AV39" t="e">
        <f>AND(#REF!,"AAAAAEc9PS8=")</f>
        <v>#REF!</v>
      </c>
      <c r="AW39" t="e">
        <f>AND(#REF!,"AAAAAEc9PTA=")</f>
        <v>#REF!</v>
      </c>
      <c r="AX39" t="e">
        <f>AND(#REF!,"AAAAAEc9PTE=")</f>
        <v>#REF!</v>
      </c>
      <c r="AY39" t="e">
        <f>AND(#REF!,"AAAAAEc9PTI=")</f>
        <v>#REF!</v>
      </c>
      <c r="AZ39" t="e">
        <f>AND(#REF!,"AAAAAEc9PTM=")</f>
        <v>#REF!</v>
      </c>
      <c r="BA39" t="e">
        <f>AND(#REF!,"AAAAAEc9PTQ=")</f>
        <v>#REF!</v>
      </c>
      <c r="BB39" t="e">
        <f>AND(#REF!,"AAAAAEc9PTU=")</f>
        <v>#REF!</v>
      </c>
      <c r="BC39" t="e">
        <f>AND(#REF!,"AAAAAEc9PTY=")</f>
        <v>#REF!</v>
      </c>
      <c r="BD39" t="e">
        <f>AND(#REF!,"AAAAAEc9PTc=")</f>
        <v>#REF!</v>
      </c>
      <c r="BE39" t="e">
        <f>AND(#REF!,"AAAAAEc9PTg=")</f>
        <v>#REF!</v>
      </c>
      <c r="BF39" t="e">
        <f>AND(#REF!,"AAAAAEc9PTk=")</f>
        <v>#REF!</v>
      </c>
      <c r="BG39" t="e">
        <f>AND(#REF!,"AAAAAEc9PTo=")</f>
        <v>#REF!</v>
      </c>
      <c r="BH39" t="e">
        <f>AND(#REF!,"AAAAAEc9PTs=")</f>
        <v>#REF!</v>
      </c>
      <c r="BI39" t="e">
        <f>AND(#REF!,"AAAAAEc9PTw=")</f>
        <v>#REF!</v>
      </c>
      <c r="BJ39" t="e">
        <f>AND(#REF!,"AAAAAEc9PT0=")</f>
        <v>#REF!</v>
      </c>
      <c r="BK39" t="e">
        <f>AND(#REF!,"AAAAAEc9PT4=")</f>
        <v>#REF!</v>
      </c>
      <c r="BL39" t="e">
        <f>AND(#REF!,"AAAAAEc9PT8=")</f>
        <v>#REF!</v>
      </c>
      <c r="BM39" t="e">
        <f>AND(#REF!,"AAAAAEc9PUA=")</f>
        <v>#REF!</v>
      </c>
      <c r="BN39" t="e">
        <f>AND(#REF!,"AAAAAEc9PUE=")</f>
        <v>#REF!</v>
      </c>
      <c r="BO39" t="e">
        <f>AND(#REF!,"AAAAAEc9PUI=")</f>
        <v>#REF!</v>
      </c>
      <c r="BP39" t="e">
        <f>AND(#REF!,"AAAAAEc9PUM=")</f>
        <v>#REF!</v>
      </c>
      <c r="BQ39" t="e">
        <f>AND(#REF!,"AAAAAEc9PUQ=")</f>
        <v>#REF!</v>
      </c>
      <c r="BR39" t="e">
        <f>AND(#REF!,"AAAAAEc9PUU=")</f>
        <v>#REF!</v>
      </c>
      <c r="BS39" t="e">
        <f>AND(#REF!,"AAAAAEc9PUY=")</f>
        <v>#REF!</v>
      </c>
      <c r="BT39" t="e">
        <f>AND(#REF!,"AAAAAEc9PUc=")</f>
        <v>#REF!</v>
      </c>
      <c r="BU39" t="e">
        <f>AND(#REF!,"AAAAAEc9PUg=")</f>
        <v>#REF!</v>
      </c>
      <c r="BV39" t="e">
        <f>AND(#REF!,"AAAAAEc9PUk=")</f>
        <v>#REF!</v>
      </c>
      <c r="BW39" t="e">
        <f>AND(#REF!,"AAAAAEc9PUo=")</f>
        <v>#REF!</v>
      </c>
      <c r="BX39" t="e">
        <f>AND(#REF!,"AAAAAEc9PUs=")</f>
        <v>#REF!</v>
      </c>
      <c r="BY39" t="e">
        <f>AND(#REF!,"AAAAAEc9PUw=")</f>
        <v>#REF!</v>
      </c>
      <c r="BZ39" t="e">
        <f>AND(#REF!,"AAAAAEc9PU0=")</f>
        <v>#REF!</v>
      </c>
      <c r="CA39" t="e">
        <f>AND(#REF!,"AAAAAEc9PU4=")</f>
        <v>#REF!</v>
      </c>
      <c r="CB39" t="e">
        <f>AND(#REF!,"AAAAAEc9PU8=")</f>
        <v>#REF!</v>
      </c>
      <c r="CC39" t="e">
        <f>AND(#REF!,"AAAAAEc9PVA=")</f>
        <v>#REF!</v>
      </c>
      <c r="CD39" t="e">
        <f>AND(#REF!,"AAAAAEc9PVE=")</f>
        <v>#REF!</v>
      </c>
      <c r="CE39" t="e">
        <f>AND(#REF!,"AAAAAEc9PVI=")</f>
        <v>#REF!</v>
      </c>
      <c r="CF39" t="e">
        <f>AND(#REF!,"AAAAAEc9PVM=")</f>
        <v>#REF!</v>
      </c>
      <c r="CG39" t="e">
        <f>AND(#REF!,"AAAAAEc9PVQ=")</f>
        <v>#REF!</v>
      </c>
      <c r="CH39" t="e">
        <f>AND(#REF!,"AAAAAEc9PVU=")</f>
        <v>#REF!</v>
      </c>
      <c r="CI39" t="e">
        <f>AND(#REF!,"AAAAAEc9PVY=")</f>
        <v>#REF!</v>
      </c>
      <c r="CJ39" t="e">
        <f>AND(#REF!,"AAAAAEc9PVc=")</f>
        <v>#REF!</v>
      </c>
      <c r="CK39" t="e">
        <f>AND(#REF!,"AAAAAEc9PVg=")</f>
        <v>#REF!</v>
      </c>
      <c r="CL39" t="e">
        <f>AND(#REF!,"AAAAAEc9PVk=")</f>
        <v>#REF!</v>
      </c>
      <c r="CM39" t="e">
        <f>AND(#REF!,"AAAAAEc9PVo=")</f>
        <v>#REF!</v>
      </c>
      <c r="CN39" t="e">
        <f>AND(#REF!,"AAAAAEc9PVs=")</f>
        <v>#REF!</v>
      </c>
      <c r="CO39" t="e">
        <f>AND(#REF!,"AAAAAEc9PVw=")</f>
        <v>#REF!</v>
      </c>
      <c r="CP39" t="e">
        <f>AND(#REF!,"AAAAAEc9PV0=")</f>
        <v>#REF!</v>
      </c>
      <c r="CQ39" t="e">
        <f>AND(#REF!,"AAAAAEc9PV4=")</f>
        <v>#REF!</v>
      </c>
      <c r="CR39" t="e">
        <f>AND(#REF!,"AAAAAEc9PV8=")</f>
        <v>#REF!</v>
      </c>
      <c r="CS39" t="e">
        <f>AND(#REF!,"AAAAAEc9PWA=")</f>
        <v>#REF!</v>
      </c>
      <c r="CT39" t="e">
        <f>AND(#REF!,"AAAAAEc9PWE=")</f>
        <v>#REF!</v>
      </c>
      <c r="CU39" t="e">
        <f>AND(#REF!,"AAAAAEc9PWI=")</f>
        <v>#REF!</v>
      </c>
      <c r="CV39" t="e">
        <f>AND(#REF!,"AAAAAEc9PWM=")</f>
        <v>#REF!</v>
      </c>
      <c r="CW39" t="e">
        <f>AND(#REF!,"AAAAAEc9PWQ=")</f>
        <v>#REF!</v>
      </c>
      <c r="CX39" t="e">
        <f>AND(#REF!,"AAAAAEc9PWU=")</f>
        <v>#REF!</v>
      </c>
      <c r="CY39" t="e">
        <f>AND(#REF!,"AAAAAEc9PWY=")</f>
        <v>#REF!</v>
      </c>
      <c r="CZ39" t="e">
        <f>AND(#REF!,"AAAAAEc9PWc=")</f>
        <v>#REF!</v>
      </c>
      <c r="DA39" t="e">
        <f>IF(#REF!,"AAAAAEc9PWg=",0)</f>
        <v>#REF!</v>
      </c>
      <c r="DB39" t="e">
        <f>AND(#REF!,"AAAAAEc9PWk=")</f>
        <v>#REF!</v>
      </c>
      <c r="DC39" t="e">
        <f>AND(#REF!,"AAAAAEc9PWo=")</f>
        <v>#REF!</v>
      </c>
      <c r="DD39" t="e">
        <f>AND(#REF!,"AAAAAEc9PWs=")</f>
        <v>#REF!</v>
      </c>
      <c r="DE39" t="e">
        <f>AND(#REF!,"AAAAAEc9PWw=")</f>
        <v>#REF!</v>
      </c>
      <c r="DF39" t="e">
        <f>AND(#REF!,"AAAAAEc9PW0=")</f>
        <v>#REF!</v>
      </c>
      <c r="DG39" t="e">
        <f>AND(#REF!,"AAAAAEc9PW4=")</f>
        <v>#REF!</v>
      </c>
      <c r="DH39" t="e">
        <f>AND(#REF!,"AAAAAEc9PW8=")</f>
        <v>#REF!</v>
      </c>
      <c r="DI39" t="e">
        <f>AND(#REF!,"AAAAAEc9PXA=")</f>
        <v>#REF!</v>
      </c>
      <c r="DJ39" t="e">
        <f>AND(#REF!,"AAAAAEc9PXE=")</f>
        <v>#REF!</v>
      </c>
      <c r="DK39" t="e">
        <f>AND(#REF!,"AAAAAEc9PXI=")</f>
        <v>#REF!</v>
      </c>
      <c r="DL39" t="e">
        <f>AND(#REF!,"AAAAAEc9PXM=")</f>
        <v>#REF!</v>
      </c>
      <c r="DM39" t="e">
        <f>AND(#REF!,"AAAAAEc9PXQ=")</f>
        <v>#REF!</v>
      </c>
      <c r="DN39" t="e">
        <f>AND(#REF!,"AAAAAEc9PXU=")</f>
        <v>#REF!</v>
      </c>
      <c r="DO39" t="e">
        <f>AND(#REF!,"AAAAAEc9PXY=")</f>
        <v>#REF!</v>
      </c>
      <c r="DP39" t="e">
        <f>AND(#REF!,"AAAAAEc9PXc=")</f>
        <v>#REF!</v>
      </c>
      <c r="DQ39" t="e">
        <f>AND(#REF!,"AAAAAEc9PXg=")</f>
        <v>#REF!</v>
      </c>
      <c r="DR39" t="e">
        <f>AND(#REF!,"AAAAAEc9PXk=")</f>
        <v>#REF!</v>
      </c>
      <c r="DS39" t="e">
        <f>AND(#REF!,"AAAAAEc9PXo=")</f>
        <v>#REF!</v>
      </c>
      <c r="DT39" t="e">
        <f>AND(#REF!,"AAAAAEc9PXs=")</f>
        <v>#REF!</v>
      </c>
      <c r="DU39" t="e">
        <f>AND(#REF!,"AAAAAEc9PXw=")</f>
        <v>#REF!</v>
      </c>
      <c r="DV39" t="e">
        <f>AND(#REF!,"AAAAAEc9PX0=")</f>
        <v>#REF!</v>
      </c>
      <c r="DW39" t="e">
        <f>AND(#REF!,"AAAAAEc9PX4=")</f>
        <v>#REF!</v>
      </c>
      <c r="DX39" t="e">
        <f>AND(#REF!,"AAAAAEc9PX8=")</f>
        <v>#REF!</v>
      </c>
      <c r="DY39" t="e">
        <f>AND(#REF!,"AAAAAEc9PYA=")</f>
        <v>#REF!</v>
      </c>
      <c r="DZ39" t="e">
        <f>AND(#REF!,"AAAAAEc9PYE=")</f>
        <v>#REF!</v>
      </c>
      <c r="EA39" t="e">
        <f>AND(#REF!,"AAAAAEc9PYI=")</f>
        <v>#REF!</v>
      </c>
      <c r="EB39" t="e">
        <f>AND(#REF!,"AAAAAEc9PYM=")</f>
        <v>#REF!</v>
      </c>
      <c r="EC39" t="e">
        <f>AND(#REF!,"AAAAAEc9PYQ=")</f>
        <v>#REF!</v>
      </c>
      <c r="ED39" t="e">
        <f>AND(#REF!,"AAAAAEc9PYU=")</f>
        <v>#REF!</v>
      </c>
      <c r="EE39" t="e">
        <f>AND(#REF!,"AAAAAEc9PYY=")</f>
        <v>#REF!</v>
      </c>
      <c r="EF39" t="e">
        <f>AND(#REF!,"AAAAAEc9PYc=")</f>
        <v>#REF!</v>
      </c>
      <c r="EG39" t="e">
        <f>AND(#REF!,"AAAAAEc9PYg=")</f>
        <v>#REF!</v>
      </c>
      <c r="EH39" t="e">
        <f>AND(#REF!,"AAAAAEc9PYk=")</f>
        <v>#REF!</v>
      </c>
      <c r="EI39" t="e">
        <f>AND(#REF!,"AAAAAEc9PYo=")</f>
        <v>#REF!</v>
      </c>
      <c r="EJ39" t="e">
        <f>AND(#REF!,"AAAAAEc9PYs=")</f>
        <v>#REF!</v>
      </c>
      <c r="EK39" t="e">
        <f>AND(#REF!,"AAAAAEc9PYw=")</f>
        <v>#REF!</v>
      </c>
      <c r="EL39" t="e">
        <f>AND(#REF!,"AAAAAEc9PY0=")</f>
        <v>#REF!</v>
      </c>
      <c r="EM39" t="e">
        <f>AND(#REF!,"AAAAAEc9PY4=")</f>
        <v>#REF!</v>
      </c>
      <c r="EN39" t="e">
        <f>AND(#REF!,"AAAAAEc9PY8=")</f>
        <v>#REF!</v>
      </c>
      <c r="EO39" t="e">
        <f>AND(#REF!,"AAAAAEc9PZA=")</f>
        <v>#REF!</v>
      </c>
      <c r="EP39" t="e">
        <f>AND(#REF!,"AAAAAEc9PZE=")</f>
        <v>#REF!</v>
      </c>
      <c r="EQ39" t="e">
        <f>AND(#REF!,"AAAAAEc9PZI=")</f>
        <v>#REF!</v>
      </c>
      <c r="ER39" t="e">
        <f>AND(#REF!,"AAAAAEc9PZM=")</f>
        <v>#REF!</v>
      </c>
      <c r="ES39" t="e">
        <f>AND(#REF!,"AAAAAEc9PZQ=")</f>
        <v>#REF!</v>
      </c>
      <c r="ET39" t="e">
        <f>AND(#REF!,"AAAAAEc9PZU=")</f>
        <v>#REF!</v>
      </c>
      <c r="EU39" t="e">
        <f>AND(#REF!,"AAAAAEc9PZY=")</f>
        <v>#REF!</v>
      </c>
      <c r="EV39" t="e">
        <f>AND(#REF!,"AAAAAEc9PZc=")</f>
        <v>#REF!</v>
      </c>
      <c r="EW39" t="e">
        <f>AND(#REF!,"AAAAAEc9PZg=")</f>
        <v>#REF!</v>
      </c>
      <c r="EX39" t="e">
        <f>AND(#REF!,"AAAAAEc9PZk=")</f>
        <v>#REF!</v>
      </c>
      <c r="EY39" t="e">
        <f>AND(#REF!,"AAAAAEc9PZo=")</f>
        <v>#REF!</v>
      </c>
      <c r="EZ39" t="e">
        <f>AND(#REF!,"AAAAAEc9PZs=")</f>
        <v>#REF!</v>
      </c>
      <c r="FA39" t="e">
        <f>AND(#REF!,"AAAAAEc9PZw=")</f>
        <v>#REF!</v>
      </c>
      <c r="FB39" t="e">
        <f>AND(#REF!,"AAAAAEc9PZ0=")</f>
        <v>#REF!</v>
      </c>
      <c r="FC39" t="e">
        <f>AND(#REF!,"AAAAAEc9PZ4=")</f>
        <v>#REF!</v>
      </c>
      <c r="FD39" t="e">
        <f>AND(#REF!,"AAAAAEc9PZ8=")</f>
        <v>#REF!</v>
      </c>
      <c r="FE39" t="e">
        <f>AND(#REF!,"AAAAAEc9PaA=")</f>
        <v>#REF!</v>
      </c>
      <c r="FF39" t="e">
        <f>AND(#REF!,"AAAAAEc9PaE=")</f>
        <v>#REF!</v>
      </c>
      <c r="FG39" t="e">
        <f>AND(#REF!,"AAAAAEc9PaI=")</f>
        <v>#REF!</v>
      </c>
      <c r="FH39" t="e">
        <f>AND(#REF!,"AAAAAEc9PaM=")</f>
        <v>#REF!</v>
      </c>
      <c r="FI39" t="e">
        <f>AND(#REF!,"AAAAAEc9PaQ=")</f>
        <v>#REF!</v>
      </c>
      <c r="FJ39" t="e">
        <f>AND(#REF!,"AAAAAEc9PaU=")</f>
        <v>#REF!</v>
      </c>
      <c r="FK39" t="e">
        <f>AND(#REF!,"AAAAAEc9PaY=")</f>
        <v>#REF!</v>
      </c>
      <c r="FL39" t="e">
        <f>AND(#REF!,"AAAAAEc9Pac=")</f>
        <v>#REF!</v>
      </c>
      <c r="FM39" t="e">
        <f>AND(#REF!,"AAAAAEc9Pag=")</f>
        <v>#REF!</v>
      </c>
      <c r="FN39" t="e">
        <f>AND(#REF!,"AAAAAEc9Pak=")</f>
        <v>#REF!</v>
      </c>
      <c r="FO39" t="e">
        <f>AND(#REF!,"AAAAAEc9Pao=")</f>
        <v>#REF!</v>
      </c>
      <c r="FP39" t="e">
        <f>AND(#REF!,"AAAAAEc9Pas=")</f>
        <v>#REF!</v>
      </c>
      <c r="FQ39" t="e">
        <f>AND(#REF!,"AAAAAEc9Paw=")</f>
        <v>#REF!</v>
      </c>
      <c r="FR39" t="e">
        <f>AND(#REF!,"AAAAAEc9Pa0=")</f>
        <v>#REF!</v>
      </c>
      <c r="FS39" t="e">
        <f>AND(#REF!,"AAAAAEc9Pa4=")</f>
        <v>#REF!</v>
      </c>
      <c r="FT39" t="e">
        <f>AND(#REF!,"AAAAAEc9Pa8=")</f>
        <v>#REF!</v>
      </c>
      <c r="FU39" t="e">
        <f>AND(#REF!,"AAAAAEc9PbA=")</f>
        <v>#REF!</v>
      </c>
      <c r="FV39" t="e">
        <f>AND(#REF!,"AAAAAEc9PbE=")</f>
        <v>#REF!</v>
      </c>
      <c r="FW39" t="e">
        <f>AND(#REF!,"AAAAAEc9PbI=")</f>
        <v>#REF!</v>
      </c>
      <c r="FX39" t="e">
        <f>IF(#REF!,"AAAAAEc9PbM=",0)</f>
        <v>#REF!</v>
      </c>
      <c r="FY39" t="e">
        <f>AND(#REF!,"AAAAAEc9PbQ=")</f>
        <v>#REF!</v>
      </c>
      <c r="FZ39" t="e">
        <f>AND(#REF!,"AAAAAEc9PbU=")</f>
        <v>#REF!</v>
      </c>
      <c r="GA39" t="e">
        <f>AND(#REF!,"AAAAAEc9PbY=")</f>
        <v>#REF!</v>
      </c>
      <c r="GB39" t="e">
        <f>AND(#REF!,"AAAAAEc9Pbc=")</f>
        <v>#REF!</v>
      </c>
      <c r="GC39" t="e">
        <f>AND(#REF!,"AAAAAEc9Pbg=")</f>
        <v>#REF!</v>
      </c>
      <c r="GD39" t="e">
        <f>AND(#REF!,"AAAAAEc9Pbk=")</f>
        <v>#REF!</v>
      </c>
      <c r="GE39" t="e">
        <f>AND(#REF!,"AAAAAEc9Pbo=")</f>
        <v>#REF!</v>
      </c>
      <c r="GF39" t="e">
        <f>AND(#REF!,"AAAAAEc9Pbs=")</f>
        <v>#REF!</v>
      </c>
      <c r="GG39" t="e">
        <f>AND(#REF!,"AAAAAEc9Pbw=")</f>
        <v>#REF!</v>
      </c>
      <c r="GH39" t="e">
        <f>AND(#REF!,"AAAAAEc9Pb0=")</f>
        <v>#REF!</v>
      </c>
      <c r="GI39" t="e">
        <f>AND(#REF!,"AAAAAEc9Pb4=")</f>
        <v>#REF!</v>
      </c>
      <c r="GJ39" t="e">
        <f>AND(#REF!,"AAAAAEc9Pb8=")</f>
        <v>#REF!</v>
      </c>
      <c r="GK39" t="e">
        <f>AND(#REF!,"AAAAAEc9PcA=")</f>
        <v>#REF!</v>
      </c>
      <c r="GL39" t="e">
        <f>AND(#REF!,"AAAAAEc9PcE=")</f>
        <v>#REF!</v>
      </c>
      <c r="GM39" t="e">
        <f>AND(#REF!,"AAAAAEc9PcI=")</f>
        <v>#REF!</v>
      </c>
      <c r="GN39" t="e">
        <f>AND(#REF!,"AAAAAEc9PcM=")</f>
        <v>#REF!</v>
      </c>
      <c r="GO39" t="e">
        <f>AND(#REF!,"AAAAAEc9PcQ=")</f>
        <v>#REF!</v>
      </c>
      <c r="GP39" t="e">
        <f>AND(#REF!,"AAAAAEc9PcU=")</f>
        <v>#REF!</v>
      </c>
      <c r="GQ39" t="e">
        <f>AND(#REF!,"AAAAAEc9PcY=")</f>
        <v>#REF!</v>
      </c>
      <c r="GR39" t="e">
        <f>AND(#REF!,"AAAAAEc9Pcc=")</f>
        <v>#REF!</v>
      </c>
      <c r="GS39" t="e">
        <f>AND(#REF!,"AAAAAEc9Pcg=")</f>
        <v>#REF!</v>
      </c>
      <c r="GT39" t="e">
        <f>AND(#REF!,"AAAAAEc9Pck=")</f>
        <v>#REF!</v>
      </c>
      <c r="GU39" t="e">
        <f>AND(#REF!,"AAAAAEc9Pco=")</f>
        <v>#REF!</v>
      </c>
      <c r="GV39" t="e">
        <f>AND(#REF!,"AAAAAEc9Pcs=")</f>
        <v>#REF!</v>
      </c>
      <c r="GW39" t="e">
        <f>AND(#REF!,"AAAAAEc9Pcw=")</f>
        <v>#REF!</v>
      </c>
      <c r="GX39" t="e">
        <f>AND(#REF!,"AAAAAEc9Pc0=")</f>
        <v>#REF!</v>
      </c>
      <c r="GY39" t="e">
        <f>AND(#REF!,"AAAAAEc9Pc4=")</f>
        <v>#REF!</v>
      </c>
      <c r="GZ39" t="e">
        <f>AND(#REF!,"AAAAAEc9Pc8=")</f>
        <v>#REF!</v>
      </c>
      <c r="HA39" t="e">
        <f>AND(#REF!,"AAAAAEc9PdA=")</f>
        <v>#REF!</v>
      </c>
      <c r="HB39" t="e">
        <f>AND(#REF!,"AAAAAEc9PdE=")</f>
        <v>#REF!</v>
      </c>
      <c r="HC39" t="e">
        <f>AND(#REF!,"AAAAAEc9PdI=")</f>
        <v>#REF!</v>
      </c>
      <c r="HD39" t="e">
        <f>AND(#REF!,"AAAAAEc9PdM=")</f>
        <v>#REF!</v>
      </c>
      <c r="HE39" t="e">
        <f>AND(#REF!,"AAAAAEc9PdQ=")</f>
        <v>#REF!</v>
      </c>
      <c r="HF39" t="e">
        <f>AND(#REF!,"AAAAAEc9PdU=")</f>
        <v>#REF!</v>
      </c>
      <c r="HG39" t="e">
        <f>AND(#REF!,"AAAAAEc9PdY=")</f>
        <v>#REF!</v>
      </c>
      <c r="HH39" t="e">
        <f>AND(#REF!,"AAAAAEc9Pdc=")</f>
        <v>#REF!</v>
      </c>
      <c r="HI39" t="e">
        <f>AND(#REF!,"AAAAAEc9Pdg=")</f>
        <v>#REF!</v>
      </c>
      <c r="HJ39" t="e">
        <f>AND(#REF!,"AAAAAEc9Pdk=")</f>
        <v>#REF!</v>
      </c>
      <c r="HK39" t="e">
        <f>AND(#REF!,"AAAAAEc9Pdo=")</f>
        <v>#REF!</v>
      </c>
      <c r="HL39" t="e">
        <f>AND(#REF!,"AAAAAEc9Pds=")</f>
        <v>#REF!</v>
      </c>
      <c r="HM39" t="e">
        <f>AND(#REF!,"AAAAAEc9Pdw=")</f>
        <v>#REF!</v>
      </c>
      <c r="HN39" t="e">
        <f>AND(#REF!,"AAAAAEc9Pd0=")</f>
        <v>#REF!</v>
      </c>
      <c r="HO39" t="e">
        <f>AND(#REF!,"AAAAAEc9Pd4=")</f>
        <v>#REF!</v>
      </c>
      <c r="HP39" t="e">
        <f>AND(#REF!,"AAAAAEc9Pd8=")</f>
        <v>#REF!</v>
      </c>
      <c r="HQ39" t="e">
        <f>AND(#REF!,"AAAAAEc9PeA=")</f>
        <v>#REF!</v>
      </c>
      <c r="HR39" t="e">
        <f>AND(#REF!,"AAAAAEc9PeE=")</f>
        <v>#REF!</v>
      </c>
      <c r="HS39" t="e">
        <f>AND(#REF!,"AAAAAEc9PeI=")</f>
        <v>#REF!</v>
      </c>
      <c r="HT39" t="e">
        <f>AND(#REF!,"AAAAAEc9PeM=")</f>
        <v>#REF!</v>
      </c>
      <c r="HU39" t="e">
        <f>AND(#REF!,"AAAAAEc9PeQ=")</f>
        <v>#REF!</v>
      </c>
      <c r="HV39" t="e">
        <f>AND(#REF!,"AAAAAEc9PeU=")</f>
        <v>#REF!</v>
      </c>
      <c r="HW39" t="e">
        <f>AND(#REF!,"AAAAAEc9PeY=")</f>
        <v>#REF!</v>
      </c>
      <c r="HX39" t="e">
        <f>AND(#REF!,"AAAAAEc9Pec=")</f>
        <v>#REF!</v>
      </c>
      <c r="HY39" t="e">
        <f>AND(#REF!,"AAAAAEc9Peg=")</f>
        <v>#REF!</v>
      </c>
      <c r="HZ39" t="e">
        <f>AND(#REF!,"AAAAAEc9Pek=")</f>
        <v>#REF!</v>
      </c>
      <c r="IA39" t="e">
        <f>AND(#REF!,"AAAAAEc9Peo=")</f>
        <v>#REF!</v>
      </c>
      <c r="IB39" t="e">
        <f>AND(#REF!,"AAAAAEc9Pes=")</f>
        <v>#REF!</v>
      </c>
      <c r="IC39" t="e">
        <f>AND(#REF!,"AAAAAEc9Pew=")</f>
        <v>#REF!</v>
      </c>
      <c r="ID39" t="e">
        <f>AND(#REF!,"AAAAAEc9Pe0=")</f>
        <v>#REF!</v>
      </c>
      <c r="IE39" t="e">
        <f>AND(#REF!,"AAAAAEc9Pe4=")</f>
        <v>#REF!</v>
      </c>
      <c r="IF39" t="e">
        <f>AND(#REF!,"AAAAAEc9Pe8=")</f>
        <v>#REF!</v>
      </c>
      <c r="IG39" t="e">
        <f>AND(#REF!,"AAAAAEc9PfA=")</f>
        <v>#REF!</v>
      </c>
      <c r="IH39" t="e">
        <f>AND(#REF!,"AAAAAEc9PfE=")</f>
        <v>#REF!</v>
      </c>
      <c r="II39" t="e">
        <f>AND(#REF!,"AAAAAEc9PfI=")</f>
        <v>#REF!</v>
      </c>
      <c r="IJ39" t="e">
        <f>AND(#REF!,"AAAAAEc9PfM=")</f>
        <v>#REF!</v>
      </c>
      <c r="IK39" t="e">
        <f>AND(#REF!,"AAAAAEc9PfQ=")</f>
        <v>#REF!</v>
      </c>
      <c r="IL39" t="e">
        <f>AND(#REF!,"AAAAAEc9PfU=")</f>
        <v>#REF!</v>
      </c>
      <c r="IM39" t="e">
        <f>AND(#REF!,"AAAAAEc9PfY=")</f>
        <v>#REF!</v>
      </c>
      <c r="IN39" t="e">
        <f>AND(#REF!,"AAAAAEc9Pfc=")</f>
        <v>#REF!</v>
      </c>
      <c r="IO39" t="e">
        <f>AND(#REF!,"AAAAAEc9Pfg=")</f>
        <v>#REF!</v>
      </c>
      <c r="IP39" t="e">
        <f>AND(#REF!,"AAAAAEc9Pfk=")</f>
        <v>#REF!</v>
      </c>
      <c r="IQ39" t="e">
        <f>AND(#REF!,"AAAAAEc9Pfo=")</f>
        <v>#REF!</v>
      </c>
      <c r="IR39" t="e">
        <f>AND(#REF!,"AAAAAEc9Pfs=")</f>
        <v>#REF!</v>
      </c>
      <c r="IS39" t="e">
        <f>AND(#REF!,"AAAAAEc9Pfw=")</f>
        <v>#REF!</v>
      </c>
      <c r="IT39" t="e">
        <f>AND(#REF!,"AAAAAEc9Pf0=")</f>
        <v>#REF!</v>
      </c>
      <c r="IU39" t="e">
        <f>IF(#REF!,"AAAAAEc9Pf4=",0)</f>
        <v>#REF!</v>
      </c>
      <c r="IV39" t="e">
        <f>AND(#REF!,"AAAAAEc9Pf8=")</f>
        <v>#REF!</v>
      </c>
    </row>
    <row r="40" spans="1:256" x14ac:dyDescent="0.2">
      <c r="A40" t="e">
        <f>AND(#REF!,"AAAAAH7d/wA=")</f>
        <v>#REF!</v>
      </c>
      <c r="B40" t="e">
        <f>AND(#REF!,"AAAAAH7d/wE=")</f>
        <v>#REF!</v>
      </c>
      <c r="C40" t="e">
        <f>AND(#REF!,"AAAAAH7d/wI=")</f>
        <v>#REF!</v>
      </c>
      <c r="D40" t="e">
        <f>AND(#REF!,"AAAAAH7d/wM=")</f>
        <v>#REF!</v>
      </c>
      <c r="E40" t="e">
        <f>AND(#REF!,"AAAAAH7d/wQ=")</f>
        <v>#REF!</v>
      </c>
      <c r="F40" t="e">
        <f>AND(#REF!,"AAAAAH7d/wU=")</f>
        <v>#REF!</v>
      </c>
      <c r="G40" t="e">
        <f>AND(#REF!,"AAAAAH7d/wY=")</f>
        <v>#REF!</v>
      </c>
      <c r="H40" t="e">
        <f>AND(#REF!,"AAAAAH7d/wc=")</f>
        <v>#REF!</v>
      </c>
      <c r="I40" t="e">
        <f>AND(#REF!,"AAAAAH7d/wg=")</f>
        <v>#REF!</v>
      </c>
      <c r="J40" t="e">
        <f>AND(#REF!,"AAAAAH7d/wk=")</f>
        <v>#REF!</v>
      </c>
      <c r="K40" t="e">
        <f>AND(#REF!,"AAAAAH7d/wo=")</f>
        <v>#REF!</v>
      </c>
      <c r="L40" t="e">
        <f>AND(#REF!,"AAAAAH7d/ws=")</f>
        <v>#REF!</v>
      </c>
      <c r="M40" t="e">
        <f>AND(#REF!,"AAAAAH7d/ww=")</f>
        <v>#REF!</v>
      </c>
      <c r="N40" t="e">
        <f>AND(#REF!,"AAAAAH7d/w0=")</f>
        <v>#REF!</v>
      </c>
      <c r="O40" t="e">
        <f>AND(#REF!,"AAAAAH7d/w4=")</f>
        <v>#REF!</v>
      </c>
      <c r="P40" t="e">
        <f>AND(#REF!,"AAAAAH7d/w8=")</f>
        <v>#REF!</v>
      </c>
      <c r="Q40" t="e">
        <f>AND(#REF!,"AAAAAH7d/xA=")</f>
        <v>#REF!</v>
      </c>
      <c r="R40" t="e">
        <f>AND(#REF!,"AAAAAH7d/xE=")</f>
        <v>#REF!</v>
      </c>
      <c r="S40" t="e">
        <f>AND(#REF!,"AAAAAH7d/xI=")</f>
        <v>#REF!</v>
      </c>
      <c r="T40" t="e">
        <f>AND(#REF!,"AAAAAH7d/xM=")</f>
        <v>#REF!</v>
      </c>
      <c r="U40" t="e">
        <f>AND(#REF!,"AAAAAH7d/xQ=")</f>
        <v>#REF!</v>
      </c>
      <c r="V40" t="e">
        <f>AND(#REF!,"AAAAAH7d/xU=")</f>
        <v>#REF!</v>
      </c>
      <c r="W40" t="e">
        <f>AND(#REF!,"AAAAAH7d/xY=")</f>
        <v>#REF!</v>
      </c>
      <c r="X40" t="e">
        <f>AND(#REF!,"AAAAAH7d/xc=")</f>
        <v>#REF!</v>
      </c>
      <c r="Y40" t="e">
        <f>AND(#REF!,"AAAAAH7d/xg=")</f>
        <v>#REF!</v>
      </c>
      <c r="Z40" t="e">
        <f>AND(#REF!,"AAAAAH7d/xk=")</f>
        <v>#REF!</v>
      </c>
      <c r="AA40" t="e">
        <f>AND(#REF!,"AAAAAH7d/xo=")</f>
        <v>#REF!</v>
      </c>
      <c r="AB40" t="e">
        <f>AND(#REF!,"AAAAAH7d/xs=")</f>
        <v>#REF!</v>
      </c>
      <c r="AC40" t="e">
        <f>AND(#REF!,"AAAAAH7d/xw=")</f>
        <v>#REF!</v>
      </c>
      <c r="AD40" t="e">
        <f>AND(#REF!,"AAAAAH7d/x0=")</f>
        <v>#REF!</v>
      </c>
      <c r="AE40" t="e">
        <f>AND(#REF!,"AAAAAH7d/x4=")</f>
        <v>#REF!</v>
      </c>
      <c r="AF40" t="e">
        <f>AND(#REF!,"AAAAAH7d/x8=")</f>
        <v>#REF!</v>
      </c>
      <c r="AG40" t="e">
        <f>AND(#REF!,"AAAAAH7d/yA=")</f>
        <v>#REF!</v>
      </c>
      <c r="AH40" t="e">
        <f>AND(#REF!,"AAAAAH7d/yE=")</f>
        <v>#REF!</v>
      </c>
      <c r="AI40" t="e">
        <f>AND(#REF!,"AAAAAH7d/yI=")</f>
        <v>#REF!</v>
      </c>
      <c r="AJ40" t="e">
        <f>AND(#REF!,"AAAAAH7d/yM=")</f>
        <v>#REF!</v>
      </c>
      <c r="AK40" t="e">
        <f>AND(#REF!,"AAAAAH7d/yQ=")</f>
        <v>#REF!</v>
      </c>
      <c r="AL40" t="e">
        <f>AND(#REF!,"AAAAAH7d/yU=")</f>
        <v>#REF!</v>
      </c>
      <c r="AM40" t="e">
        <f>AND(#REF!,"AAAAAH7d/yY=")</f>
        <v>#REF!</v>
      </c>
      <c r="AN40" t="e">
        <f>AND(#REF!,"AAAAAH7d/yc=")</f>
        <v>#REF!</v>
      </c>
      <c r="AO40" t="e">
        <f>AND(#REF!,"AAAAAH7d/yg=")</f>
        <v>#REF!</v>
      </c>
      <c r="AP40" t="e">
        <f>AND(#REF!,"AAAAAH7d/yk=")</f>
        <v>#REF!</v>
      </c>
      <c r="AQ40" t="e">
        <f>AND(#REF!,"AAAAAH7d/yo=")</f>
        <v>#REF!</v>
      </c>
      <c r="AR40" t="e">
        <f>AND(#REF!,"AAAAAH7d/ys=")</f>
        <v>#REF!</v>
      </c>
      <c r="AS40" t="e">
        <f>AND(#REF!,"AAAAAH7d/yw=")</f>
        <v>#REF!</v>
      </c>
      <c r="AT40" t="e">
        <f>AND(#REF!,"AAAAAH7d/y0=")</f>
        <v>#REF!</v>
      </c>
      <c r="AU40" t="e">
        <f>AND(#REF!,"AAAAAH7d/y4=")</f>
        <v>#REF!</v>
      </c>
      <c r="AV40" t="e">
        <f>AND(#REF!,"AAAAAH7d/y8=")</f>
        <v>#REF!</v>
      </c>
      <c r="AW40" t="e">
        <f>AND(#REF!,"AAAAAH7d/zA=")</f>
        <v>#REF!</v>
      </c>
      <c r="AX40" t="e">
        <f>AND(#REF!,"AAAAAH7d/zE=")</f>
        <v>#REF!</v>
      </c>
      <c r="AY40" t="e">
        <f>AND(#REF!,"AAAAAH7d/zI=")</f>
        <v>#REF!</v>
      </c>
      <c r="AZ40" t="e">
        <f>AND(#REF!,"AAAAAH7d/zM=")</f>
        <v>#REF!</v>
      </c>
      <c r="BA40" t="e">
        <f>AND(#REF!,"AAAAAH7d/zQ=")</f>
        <v>#REF!</v>
      </c>
      <c r="BB40" t="e">
        <f>AND(#REF!,"AAAAAH7d/zU=")</f>
        <v>#REF!</v>
      </c>
      <c r="BC40" t="e">
        <f>AND(#REF!,"AAAAAH7d/zY=")</f>
        <v>#REF!</v>
      </c>
      <c r="BD40" t="e">
        <f>AND(#REF!,"AAAAAH7d/zc=")</f>
        <v>#REF!</v>
      </c>
      <c r="BE40" t="e">
        <f>AND(#REF!,"AAAAAH7d/zg=")</f>
        <v>#REF!</v>
      </c>
      <c r="BF40" t="e">
        <f>AND(#REF!,"AAAAAH7d/zk=")</f>
        <v>#REF!</v>
      </c>
      <c r="BG40" t="e">
        <f>AND(#REF!,"AAAAAH7d/zo=")</f>
        <v>#REF!</v>
      </c>
      <c r="BH40" t="e">
        <f>AND(#REF!,"AAAAAH7d/zs=")</f>
        <v>#REF!</v>
      </c>
      <c r="BI40" t="e">
        <f>AND(#REF!,"AAAAAH7d/zw=")</f>
        <v>#REF!</v>
      </c>
      <c r="BJ40" t="e">
        <f>AND(#REF!,"AAAAAH7d/z0=")</f>
        <v>#REF!</v>
      </c>
      <c r="BK40" t="e">
        <f>AND(#REF!,"AAAAAH7d/z4=")</f>
        <v>#REF!</v>
      </c>
      <c r="BL40" t="e">
        <f>AND(#REF!,"AAAAAH7d/z8=")</f>
        <v>#REF!</v>
      </c>
      <c r="BM40" t="e">
        <f>AND(#REF!,"AAAAAH7d/0A=")</f>
        <v>#REF!</v>
      </c>
      <c r="BN40" t="e">
        <f>AND(#REF!,"AAAAAH7d/0E=")</f>
        <v>#REF!</v>
      </c>
      <c r="BO40" t="e">
        <f>AND(#REF!,"AAAAAH7d/0I=")</f>
        <v>#REF!</v>
      </c>
      <c r="BP40" t="e">
        <f>AND(#REF!,"AAAAAH7d/0M=")</f>
        <v>#REF!</v>
      </c>
      <c r="BQ40" t="e">
        <f>AND(#REF!,"AAAAAH7d/0Q=")</f>
        <v>#REF!</v>
      </c>
      <c r="BR40" t="e">
        <f>AND(#REF!,"AAAAAH7d/0U=")</f>
        <v>#REF!</v>
      </c>
      <c r="BS40" t="e">
        <f>AND(#REF!,"AAAAAH7d/0Y=")</f>
        <v>#REF!</v>
      </c>
      <c r="BT40" t="e">
        <f>AND(#REF!,"AAAAAH7d/0c=")</f>
        <v>#REF!</v>
      </c>
      <c r="BU40" t="e">
        <f>AND(#REF!,"AAAAAH7d/0g=")</f>
        <v>#REF!</v>
      </c>
      <c r="BV40" t="e">
        <f>IF(#REF!,"AAAAAH7d/0k=",0)</f>
        <v>#REF!</v>
      </c>
      <c r="BW40" t="e">
        <f>AND(#REF!,"AAAAAH7d/0o=")</f>
        <v>#REF!</v>
      </c>
      <c r="BX40" t="e">
        <f>AND(#REF!,"AAAAAH7d/0s=")</f>
        <v>#REF!</v>
      </c>
      <c r="BY40" t="e">
        <f>AND(#REF!,"AAAAAH7d/0w=")</f>
        <v>#REF!</v>
      </c>
      <c r="BZ40" t="e">
        <f>AND(#REF!,"AAAAAH7d/00=")</f>
        <v>#REF!</v>
      </c>
      <c r="CA40" t="e">
        <f>AND(#REF!,"AAAAAH7d/04=")</f>
        <v>#REF!</v>
      </c>
      <c r="CB40" t="e">
        <f>AND(#REF!,"AAAAAH7d/08=")</f>
        <v>#REF!</v>
      </c>
      <c r="CC40" t="e">
        <f>AND(#REF!,"AAAAAH7d/1A=")</f>
        <v>#REF!</v>
      </c>
      <c r="CD40" t="e">
        <f>AND(#REF!,"AAAAAH7d/1E=")</f>
        <v>#REF!</v>
      </c>
      <c r="CE40" t="e">
        <f>AND(#REF!,"AAAAAH7d/1I=")</f>
        <v>#REF!</v>
      </c>
      <c r="CF40" t="e">
        <f>AND(#REF!,"AAAAAH7d/1M=")</f>
        <v>#REF!</v>
      </c>
      <c r="CG40" t="e">
        <f>AND(#REF!,"AAAAAH7d/1Q=")</f>
        <v>#REF!</v>
      </c>
      <c r="CH40" t="e">
        <f>AND(#REF!,"AAAAAH7d/1U=")</f>
        <v>#REF!</v>
      </c>
      <c r="CI40" t="e">
        <f>AND(#REF!,"AAAAAH7d/1Y=")</f>
        <v>#REF!</v>
      </c>
      <c r="CJ40" t="e">
        <f>AND(#REF!,"AAAAAH7d/1c=")</f>
        <v>#REF!</v>
      </c>
      <c r="CK40" t="e">
        <f>AND(#REF!,"AAAAAH7d/1g=")</f>
        <v>#REF!</v>
      </c>
      <c r="CL40" t="e">
        <f>AND(#REF!,"AAAAAH7d/1k=")</f>
        <v>#REF!</v>
      </c>
      <c r="CM40" t="e">
        <f>AND(#REF!,"AAAAAH7d/1o=")</f>
        <v>#REF!</v>
      </c>
      <c r="CN40" t="e">
        <f>AND(#REF!,"AAAAAH7d/1s=")</f>
        <v>#REF!</v>
      </c>
      <c r="CO40" t="e">
        <f>AND(#REF!,"AAAAAH7d/1w=")</f>
        <v>#REF!</v>
      </c>
      <c r="CP40" t="e">
        <f>AND(#REF!,"AAAAAH7d/10=")</f>
        <v>#REF!</v>
      </c>
      <c r="CQ40" t="e">
        <f>AND(#REF!,"AAAAAH7d/14=")</f>
        <v>#REF!</v>
      </c>
      <c r="CR40" t="e">
        <f>AND(#REF!,"AAAAAH7d/18=")</f>
        <v>#REF!</v>
      </c>
      <c r="CS40" t="e">
        <f>AND(#REF!,"AAAAAH7d/2A=")</f>
        <v>#REF!</v>
      </c>
      <c r="CT40" t="e">
        <f>AND(#REF!,"AAAAAH7d/2E=")</f>
        <v>#REF!</v>
      </c>
      <c r="CU40" t="e">
        <f>AND(#REF!,"AAAAAH7d/2I=")</f>
        <v>#REF!</v>
      </c>
      <c r="CV40" t="e">
        <f>AND(#REF!,"AAAAAH7d/2M=")</f>
        <v>#REF!</v>
      </c>
      <c r="CW40" t="e">
        <f>AND(#REF!,"AAAAAH7d/2Q=")</f>
        <v>#REF!</v>
      </c>
      <c r="CX40" t="e">
        <f>AND(#REF!,"AAAAAH7d/2U=")</f>
        <v>#REF!</v>
      </c>
      <c r="CY40" t="e">
        <f>AND(#REF!,"AAAAAH7d/2Y=")</f>
        <v>#REF!</v>
      </c>
      <c r="CZ40" t="e">
        <f>AND(#REF!,"AAAAAH7d/2c=")</f>
        <v>#REF!</v>
      </c>
      <c r="DA40" t="e">
        <f>AND(#REF!,"AAAAAH7d/2g=")</f>
        <v>#REF!</v>
      </c>
      <c r="DB40" t="e">
        <f>AND(#REF!,"AAAAAH7d/2k=")</f>
        <v>#REF!</v>
      </c>
      <c r="DC40" t="e">
        <f>AND(#REF!,"AAAAAH7d/2o=")</f>
        <v>#REF!</v>
      </c>
      <c r="DD40" t="e">
        <f>AND(#REF!,"AAAAAH7d/2s=")</f>
        <v>#REF!</v>
      </c>
      <c r="DE40" t="e">
        <f>AND(#REF!,"AAAAAH7d/2w=")</f>
        <v>#REF!</v>
      </c>
      <c r="DF40" t="e">
        <f>AND(#REF!,"AAAAAH7d/20=")</f>
        <v>#REF!</v>
      </c>
      <c r="DG40" t="e">
        <f>AND(#REF!,"AAAAAH7d/24=")</f>
        <v>#REF!</v>
      </c>
      <c r="DH40" t="e">
        <f>AND(#REF!,"AAAAAH7d/28=")</f>
        <v>#REF!</v>
      </c>
      <c r="DI40" t="e">
        <f>AND(#REF!,"AAAAAH7d/3A=")</f>
        <v>#REF!</v>
      </c>
      <c r="DJ40" t="e">
        <f>AND(#REF!,"AAAAAH7d/3E=")</f>
        <v>#REF!</v>
      </c>
      <c r="DK40" t="e">
        <f>AND(#REF!,"AAAAAH7d/3I=")</f>
        <v>#REF!</v>
      </c>
      <c r="DL40" t="e">
        <f>AND(#REF!,"AAAAAH7d/3M=")</f>
        <v>#REF!</v>
      </c>
      <c r="DM40" t="e">
        <f>AND(#REF!,"AAAAAH7d/3Q=")</f>
        <v>#REF!</v>
      </c>
      <c r="DN40" t="e">
        <f>AND(#REF!,"AAAAAH7d/3U=")</f>
        <v>#REF!</v>
      </c>
      <c r="DO40" t="e">
        <f>AND(#REF!,"AAAAAH7d/3Y=")</f>
        <v>#REF!</v>
      </c>
      <c r="DP40" t="e">
        <f>AND(#REF!,"AAAAAH7d/3c=")</f>
        <v>#REF!</v>
      </c>
      <c r="DQ40" t="e">
        <f>AND(#REF!,"AAAAAH7d/3g=")</f>
        <v>#REF!</v>
      </c>
      <c r="DR40" t="e">
        <f>AND(#REF!,"AAAAAH7d/3k=")</f>
        <v>#REF!</v>
      </c>
      <c r="DS40" t="e">
        <f>AND(#REF!,"AAAAAH7d/3o=")</f>
        <v>#REF!</v>
      </c>
      <c r="DT40" t="e">
        <f>AND(#REF!,"AAAAAH7d/3s=")</f>
        <v>#REF!</v>
      </c>
      <c r="DU40" t="e">
        <f>AND(#REF!,"AAAAAH7d/3w=")</f>
        <v>#REF!</v>
      </c>
      <c r="DV40" t="e">
        <f>AND(#REF!,"AAAAAH7d/30=")</f>
        <v>#REF!</v>
      </c>
      <c r="DW40" t="e">
        <f>AND(#REF!,"AAAAAH7d/34=")</f>
        <v>#REF!</v>
      </c>
      <c r="DX40" t="e">
        <f>AND(#REF!,"AAAAAH7d/38=")</f>
        <v>#REF!</v>
      </c>
      <c r="DY40" t="e">
        <f>AND(#REF!,"AAAAAH7d/4A=")</f>
        <v>#REF!</v>
      </c>
      <c r="DZ40" t="e">
        <f>AND(#REF!,"AAAAAH7d/4E=")</f>
        <v>#REF!</v>
      </c>
      <c r="EA40" t="e">
        <f>AND(#REF!,"AAAAAH7d/4I=")</f>
        <v>#REF!</v>
      </c>
      <c r="EB40" t="e">
        <f>AND(#REF!,"AAAAAH7d/4M=")</f>
        <v>#REF!</v>
      </c>
      <c r="EC40" t="e">
        <f>AND(#REF!,"AAAAAH7d/4Q=")</f>
        <v>#REF!</v>
      </c>
      <c r="ED40" t="e">
        <f>AND(#REF!,"AAAAAH7d/4U=")</f>
        <v>#REF!</v>
      </c>
      <c r="EE40" t="e">
        <f>AND(#REF!,"AAAAAH7d/4Y=")</f>
        <v>#REF!</v>
      </c>
      <c r="EF40" t="e">
        <f>AND(#REF!,"AAAAAH7d/4c=")</f>
        <v>#REF!</v>
      </c>
      <c r="EG40" t="e">
        <f>AND(#REF!,"AAAAAH7d/4g=")</f>
        <v>#REF!</v>
      </c>
      <c r="EH40" t="e">
        <f>AND(#REF!,"AAAAAH7d/4k=")</f>
        <v>#REF!</v>
      </c>
      <c r="EI40" t="e">
        <f>AND(#REF!,"AAAAAH7d/4o=")</f>
        <v>#REF!</v>
      </c>
      <c r="EJ40" t="e">
        <f>AND(#REF!,"AAAAAH7d/4s=")</f>
        <v>#REF!</v>
      </c>
      <c r="EK40" t="e">
        <f>AND(#REF!,"AAAAAH7d/4w=")</f>
        <v>#REF!</v>
      </c>
      <c r="EL40" t="e">
        <f>AND(#REF!,"AAAAAH7d/40=")</f>
        <v>#REF!</v>
      </c>
      <c r="EM40" t="e">
        <f>AND(#REF!,"AAAAAH7d/44=")</f>
        <v>#REF!</v>
      </c>
      <c r="EN40" t="e">
        <f>AND(#REF!,"AAAAAH7d/48=")</f>
        <v>#REF!</v>
      </c>
      <c r="EO40" t="e">
        <f>AND(#REF!,"AAAAAH7d/5A=")</f>
        <v>#REF!</v>
      </c>
      <c r="EP40" t="e">
        <f>AND(#REF!,"AAAAAH7d/5E=")</f>
        <v>#REF!</v>
      </c>
      <c r="EQ40" t="e">
        <f>AND(#REF!,"AAAAAH7d/5I=")</f>
        <v>#REF!</v>
      </c>
      <c r="ER40" t="e">
        <f>AND(#REF!,"AAAAAH7d/5M=")</f>
        <v>#REF!</v>
      </c>
      <c r="ES40" t="e">
        <f>IF(#REF!,"AAAAAH7d/5Q=",0)</f>
        <v>#REF!</v>
      </c>
      <c r="ET40" t="e">
        <f>AND(#REF!,"AAAAAH7d/5U=")</f>
        <v>#REF!</v>
      </c>
      <c r="EU40" t="e">
        <f>AND(#REF!,"AAAAAH7d/5Y=")</f>
        <v>#REF!</v>
      </c>
      <c r="EV40" t="e">
        <f>AND(#REF!,"AAAAAH7d/5c=")</f>
        <v>#REF!</v>
      </c>
      <c r="EW40" t="e">
        <f>AND(#REF!,"AAAAAH7d/5g=")</f>
        <v>#REF!</v>
      </c>
      <c r="EX40" t="e">
        <f>AND(#REF!,"AAAAAH7d/5k=")</f>
        <v>#REF!</v>
      </c>
      <c r="EY40" t="e">
        <f>AND(#REF!,"AAAAAH7d/5o=")</f>
        <v>#REF!</v>
      </c>
      <c r="EZ40" t="e">
        <f>AND(#REF!,"AAAAAH7d/5s=")</f>
        <v>#REF!</v>
      </c>
      <c r="FA40" t="e">
        <f>AND(#REF!,"AAAAAH7d/5w=")</f>
        <v>#REF!</v>
      </c>
      <c r="FB40" t="e">
        <f>AND(#REF!,"AAAAAH7d/50=")</f>
        <v>#REF!</v>
      </c>
      <c r="FC40" t="e">
        <f>AND(#REF!,"AAAAAH7d/54=")</f>
        <v>#REF!</v>
      </c>
      <c r="FD40" t="e">
        <f>AND(#REF!,"AAAAAH7d/58=")</f>
        <v>#REF!</v>
      </c>
      <c r="FE40" t="e">
        <f>AND(#REF!,"AAAAAH7d/6A=")</f>
        <v>#REF!</v>
      </c>
      <c r="FF40" t="e">
        <f>AND(#REF!,"AAAAAH7d/6E=")</f>
        <v>#REF!</v>
      </c>
      <c r="FG40" t="e">
        <f>AND(#REF!,"AAAAAH7d/6I=")</f>
        <v>#REF!</v>
      </c>
      <c r="FH40" t="e">
        <f>AND(#REF!,"AAAAAH7d/6M=")</f>
        <v>#REF!</v>
      </c>
      <c r="FI40" t="e">
        <f>AND(#REF!,"AAAAAH7d/6Q=")</f>
        <v>#REF!</v>
      </c>
      <c r="FJ40" t="e">
        <f>AND(#REF!,"AAAAAH7d/6U=")</f>
        <v>#REF!</v>
      </c>
      <c r="FK40" t="e">
        <f>AND(#REF!,"AAAAAH7d/6Y=")</f>
        <v>#REF!</v>
      </c>
      <c r="FL40" t="e">
        <f>AND(#REF!,"AAAAAH7d/6c=")</f>
        <v>#REF!</v>
      </c>
      <c r="FM40" t="e">
        <f>AND(#REF!,"AAAAAH7d/6g=")</f>
        <v>#REF!</v>
      </c>
      <c r="FN40" t="e">
        <f>AND(#REF!,"AAAAAH7d/6k=")</f>
        <v>#REF!</v>
      </c>
      <c r="FO40" t="e">
        <f>AND(#REF!,"AAAAAH7d/6o=")</f>
        <v>#REF!</v>
      </c>
      <c r="FP40" t="e">
        <f>AND(#REF!,"AAAAAH7d/6s=")</f>
        <v>#REF!</v>
      </c>
      <c r="FQ40" t="e">
        <f>AND(#REF!,"AAAAAH7d/6w=")</f>
        <v>#REF!</v>
      </c>
      <c r="FR40" t="e">
        <f>AND(#REF!,"AAAAAH7d/60=")</f>
        <v>#REF!</v>
      </c>
      <c r="FS40" t="e">
        <f>AND(#REF!,"AAAAAH7d/64=")</f>
        <v>#REF!</v>
      </c>
      <c r="FT40" t="e">
        <f>AND(#REF!,"AAAAAH7d/68=")</f>
        <v>#REF!</v>
      </c>
      <c r="FU40" t="e">
        <f>AND(#REF!,"AAAAAH7d/7A=")</f>
        <v>#REF!</v>
      </c>
      <c r="FV40" t="e">
        <f>AND(#REF!,"AAAAAH7d/7E=")</f>
        <v>#REF!</v>
      </c>
      <c r="FW40" t="e">
        <f>AND(#REF!,"AAAAAH7d/7I=")</f>
        <v>#REF!</v>
      </c>
      <c r="FX40" t="e">
        <f>AND(#REF!,"AAAAAH7d/7M=")</f>
        <v>#REF!</v>
      </c>
      <c r="FY40" t="e">
        <f>AND(#REF!,"AAAAAH7d/7Q=")</f>
        <v>#REF!</v>
      </c>
      <c r="FZ40" t="e">
        <f>AND(#REF!,"AAAAAH7d/7U=")</f>
        <v>#REF!</v>
      </c>
      <c r="GA40" t="e">
        <f>AND(#REF!,"AAAAAH7d/7Y=")</f>
        <v>#REF!</v>
      </c>
      <c r="GB40" t="e">
        <f>AND(#REF!,"AAAAAH7d/7c=")</f>
        <v>#REF!</v>
      </c>
      <c r="GC40" t="e">
        <f>AND(#REF!,"AAAAAH7d/7g=")</f>
        <v>#REF!</v>
      </c>
      <c r="GD40" t="e">
        <f>AND(#REF!,"AAAAAH7d/7k=")</f>
        <v>#REF!</v>
      </c>
      <c r="GE40" t="e">
        <f>AND(#REF!,"AAAAAH7d/7o=")</f>
        <v>#REF!</v>
      </c>
      <c r="GF40" t="e">
        <f>AND(#REF!,"AAAAAH7d/7s=")</f>
        <v>#REF!</v>
      </c>
      <c r="GG40" t="e">
        <f>AND(#REF!,"AAAAAH7d/7w=")</f>
        <v>#REF!</v>
      </c>
      <c r="GH40" t="e">
        <f>AND(#REF!,"AAAAAH7d/70=")</f>
        <v>#REF!</v>
      </c>
      <c r="GI40" t="e">
        <f>AND(#REF!,"AAAAAH7d/74=")</f>
        <v>#REF!</v>
      </c>
      <c r="GJ40" t="e">
        <f>AND(#REF!,"AAAAAH7d/78=")</f>
        <v>#REF!</v>
      </c>
      <c r="GK40" t="e">
        <f>AND(#REF!,"AAAAAH7d/8A=")</f>
        <v>#REF!</v>
      </c>
      <c r="GL40" t="e">
        <f>AND(#REF!,"AAAAAH7d/8E=")</f>
        <v>#REF!</v>
      </c>
      <c r="GM40" t="e">
        <f>AND(#REF!,"AAAAAH7d/8I=")</f>
        <v>#REF!</v>
      </c>
      <c r="GN40" t="e">
        <f>AND(#REF!,"AAAAAH7d/8M=")</f>
        <v>#REF!</v>
      </c>
      <c r="GO40" t="e">
        <f>AND(#REF!,"AAAAAH7d/8Q=")</f>
        <v>#REF!</v>
      </c>
      <c r="GP40" t="e">
        <f>AND(#REF!,"AAAAAH7d/8U=")</f>
        <v>#REF!</v>
      </c>
      <c r="GQ40" t="e">
        <f>AND(#REF!,"AAAAAH7d/8Y=")</f>
        <v>#REF!</v>
      </c>
      <c r="GR40" t="e">
        <f>AND(#REF!,"AAAAAH7d/8c=")</f>
        <v>#REF!</v>
      </c>
      <c r="GS40" t="e">
        <f>AND(#REF!,"AAAAAH7d/8g=")</f>
        <v>#REF!</v>
      </c>
      <c r="GT40" t="e">
        <f>AND(#REF!,"AAAAAH7d/8k=")</f>
        <v>#REF!</v>
      </c>
      <c r="GU40" t="e">
        <f>AND(#REF!,"AAAAAH7d/8o=")</f>
        <v>#REF!</v>
      </c>
      <c r="GV40" t="e">
        <f>AND(#REF!,"AAAAAH7d/8s=")</f>
        <v>#REF!</v>
      </c>
      <c r="GW40" t="e">
        <f>AND(#REF!,"AAAAAH7d/8w=")</f>
        <v>#REF!</v>
      </c>
      <c r="GX40" t="e">
        <f>AND(#REF!,"AAAAAH7d/80=")</f>
        <v>#REF!</v>
      </c>
      <c r="GY40" t="e">
        <f>AND(#REF!,"AAAAAH7d/84=")</f>
        <v>#REF!</v>
      </c>
      <c r="GZ40" t="e">
        <f>AND(#REF!,"AAAAAH7d/88=")</f>
        <v>#REF!</v>
      </c>
      <c r="HA40" t="e">
        <f>AND(#REF!,"AAAAAH7d/9A=")</f>
        <v>#REF!</v>
      </c>
      <c r="HB40" t="e">
        <f>AND(#REF!,"AAAAAH7d/9E=")</f>
        <v>#REF!</v>
      </c>
      <c r="HC40" t="e">
        <f>AND(#REF!,"AAAAAH7d/9I=")</f>
        <v>#REF!</v>
      </c>
      <c r="HD40" t="e">
        <f>AND(#REF!,"AAAAAH7d/9M=")</f>
        <v>#REF!</v>
      </c>
      <c r="HE40" t="e">
        <f>AND(#REF!,"AAAAAH7d/9Q=")</f>
        <v>#REF!</v>
      </c>
      <c r="HF40" t="e">
        <f>AND(#REF!,"AAAAAH7d/9U=")</f>
        <v>#REF!</v>
      </c>
      <c r="HG40" t="e">
        <f>AND(#REF!,"AAAAAH7d/9Y=")</f>
        <v>#REF!</v>
      </c>
      <c r="HH40" t="e">
        <f>AND(#REF!,"AAAAAH7d/9c=")</f>
        <v>#REF!</v>
      </c>
      <c r="HI40" t="e">
        <f>AND(#REF!,"AAAAAH7d/9g=")</f>
        <v>#REF!</v>
      </c>
      <c r="HJ40" t="e">
        <f>AND(#REF!,"AAAAAH7d/9k=")</f>
        <v>#REF!</v>
      </c>
      <c r="HK40" t="e">
        <f>AND(#REF!,"AAAAAH7d/9o=")</f>
        <v>#REF!</v>
      </c>
      <c r="HL40" t="e">
        <f>AND(#REF!,"AAAAAH7d/9s=")</f>
        <v>#REF!</v>
      </c>
      <c r="HM40" t="e">
        <f>AND(#REF!,"AAAAAH7d/9w=")</f>
        <v>#REF!</v>
      </c>
      <c r="HN40" t="e">
        <f>AND(#REF!,"AAAAAH7d/90=")</f>
        <v>#REF!</v>
      </c>
      <c r="HO40" t="e">
        <f>AND(#REF!,"AAAAAH7d/94=")</f>
        <v>#REF!</v>
      </c>
      <c r="HP40" t="e">
        <f>IF(#REF!,"AAAAAH7d/98=",0)</f>
        <v>#REF!</v>
      </c>
      <c r="HQ40" t="e">
        <f>AND(#REF!,"AAAAAH7d/+A=")</f>
        <v>#REF!</v>
      </c>
      <c r="HR40" t="e">
        <f>AND(#REF!,"AAAAAH7d/+E=")</f>
        <v>#REF!</v>
      </c>
      <c r="HS40" t="e">
        <f>AND(#REF!,"AAAAAH7d/+I=")</f>
        <v>#REF!</v>
      </c>
      <c r="HT40" t="e">
        <f>AND(#REF!,"AAAAAH7d/+M=")</f>
        <v>#REF!</v>
      </c>
      <c r="HU40" t="e">
        <f>AND(#REF!,"AAAAAH7d/+Q=")</f>
        <v>#REF!</v>
      </c>
      <c r="HV40" t="e">
        <f>AND(#REF!,"AAAAAH7d/+U=")</f>
        <v>#REF!</v>
      </c>
      <c r="HW40" t="e">
        <f>AND(#REF!,"AAAAAH7d/+Y=")</f>
        <v>#REF!</v>
      </c>
      <c r="HX40" t="e">
        <f>AND(#REF!,"AAAAAH7d/+c=")</f>
        <v>#REF!</v>
      </c>
      <c r="HY40" t="e">
        <f>AND(#REF!,"AAAAAH7d/+g=")</f>
        <v>#REF!</v>
      </c>
      <c r="HZ40" t="e">
        <f>AND(#REF!,"AAAAAH7d/+k=")</f>
        <v>#REF!</v>
      </c>
      <c r="IA40" t="e">
        <f>AND(#REF!,"AAAAAH7d/+o=")</f>
        <v>#REF!</v>
      </c>
      <c r="IB40" t="e">
        <f>AND(#REF!,"AAAAAH7d/+s=")</f>
        <v>#REF!</v>
      </c>
      <c r="IC40" t="e">
        <f>AND(#REF!,"AAAAAH7d/+w=")</f>
        <v>#REF!</v>
      </c>
      <c r="ID40" t="e">
        <f>AND(#REF!,"AAAAAH7d/+0=")</f>
        <v>#REF!</v>
      </c>
      <c r="IE40" t="e">
        <f>AND(#REF!,"AAAAAH7d/+4=")</f>
        <v>#REF!</v>
      </c>
      <c r="IF40" t="e">
        <f>AND(#REF!,"AAAAAH7d/+8=")</f>
        <v>#REF!</v>
      </c>
      <c r="IG40" t="e">
        <f>AND(#REF!,"AAAAAH7d//A=")</f>
        <v>#REF!</v>
      </c>
      <c r="IH40" t="e">
        <f>AND(#REF!,"AAAAAH7d//E=")</f>
        <v>#REF!</v>
      </c>
      <c r="II40" t="e">
        <f>AND(#REF!,"AAAAAH7d//I=")</f>
        <v>#REF!</v>
      </c>
      <c r="IJ40" t="e">
        <f>AND(#REF!,"AAAAAH7d//M=")</f>
        <v>#REF!</v>
      </c>
      <c r="IK40" t="e">
        <f>AND(#REF!,"AAAAAH7d//Q=")</f>
        <v>#REF!</v>
      </c>
      <c r="IL40" t="e">
        <f>AND(#REF!,"AAAAAH7d//U=")</f>
        <v>#REF!</v>
      </c>
      <c r="IM40" t="e">
        <f>AND(#REF!,"AAAAAH7d//Y=")</f>
        <v>#REF!</v>
      </c>
      <c r="IN40" t="e">
        <f>AND(#REF!,"AAAAAH7d//c=")</f>
        <v>#REF!</v>
      </c>
      <c r="IO40" t="e">
        <f>AND(#REF!,"AAAAAH7d//g=")</f>
        <v>#REF!</v>
      </c>
      <c r="IP40" t="e">
        <f>AND(#REF!,"AAAAAH7d//k=")</f>
        <v>#REF!</v>
      </c>
      <c r="IQ40" t="e">
        <f>AND(#REF!,"AAAAAH7d//o=")</f>
        <v>#REF!</v>
      </c>
      <c r="IR40" t="e">
        <f>AND(#REF!,"AAAAAH7d//s=")</f>
        <v>#REF!</v>
      </c>
      <c r="IS40" t="e">
        <f>AND(#REF!,"AAAAAH7d//w=")</f>
        <v>#REF!</v>
      </c>
      <c r="IT40" t="e">
        <f>AND(#REF!,"AAAAAH7d//0=")</f>
        <v>#REF!</v>
      </c>
      <c r="IU40" t="e">
        <f>AND(#REF!,"AAAAAH7d//4=")</f>
        <v>#REF!</v>
      </c>
      <c r="IV40" t="e">
        <f>AND(#REF!,"AAAAAH7d//8=")</f>
        <v>#REF!</v>
      </c>
    </row>
    <row r="41" spans="1:256" x14ac:dyDescent="0.2">
      <c r="A41" t="e">
        <f>AND(#REF!,"AAAAAH/uvQA=")</f>
        <v>#REF!</v>
      </c>
      <c r="B41" t="e">
        <f>AND(#REF!,"AAAAAH/uvQE=")</f>
        <v>#REF!</v>
      </c>
      <c r="C41" t="e">
        <f>AND(#REF!,"AAAAAH/uvQI=")</f>
        <v>#REF!</v>
      </c>
      <c r="D41" t="e">
        <f>AND(#REF!,"AAAAAH/uvQM=")</f>
        <v>#REF!</v>
      </c>
      <c r="E41" t="e">
        <f>AND(#REF!,"AAAAAH/uvQQ=")</f>
        <v>#REF!</v>
      </c>
      <c r="F41" t="e">
        <f>AND(#REF!,"AAAAAH/uvQU=")</f>
        <v>#REF!</v>
      </c>
      <c r="G41" t="e">
        <f>AND(#REF!,"AAAAAH/uvQY=")</f>
        <v>#REF!</v>
      </c>
      <c r="H41" t="e">
        <f>AND(#REF!,"AAAAAH/uvQc=")</f>
        <v>#REF!</v>
      </c>
      <c r="I41" t="e">
        <f>AND(#REF!,"AAAAAH/uvQg=")</f>
        <v>#REF!</v>
      </c>
      <c r="J41" t="e">
        <f>AND(#REF!,"AAAAAH/uvQk=")</f>
        <v>#REF!</v>
      </c>
      <c r="K41" t="e">
        <f>AND(#REF!,"AAAAAH/uvQo=")</f>
        <v>#REF!</v>
      </c>
      <c r="L41" t="e">
        <f>AND(#REF!,"AAAAAH/uvQs=")</f>
        <v>#REF!</v>
      </c>
      <c r="M41" t="e">
        <f>AND(#REF!,"AAAAAH/uvQw=")</f>
        <v>#REF!</v>
      </c>
      <c r="N41" t="e">
        <f>AND(#REF!,"AAAAAH/uvQ0=")</f>
        <v>#REF!</v>
      </c>
      <c r="O41" t="e">
        <f>AND(#REF!,"AAAAAH/uvQ4=")</f>
        <v>#REF!</v>
      </c>
      <c r="P41" t="e">
        <f>AND(#REF!,"AAAAAH/uvQ8=")</f>
        <v>#REF!</v>
      </c>
      <c r="Q41" t="e">
        <f>AND(#REF!,"AAAAAH/uvRA=")</f>
        <v>#REF!</v>
      </c>
      <c r="R41" t="e">
        <f>AND(#REF!,"AAAAAH/uvRE=")</f>
        <v>#REF!</v>
      </c>
      <c r="S41" t="e">
        <f>AND(#REF!,"AAAAAH/uvRI=")</f>
        <v>#REF!</v>
      </c>
      <c r="T41" t="e">
        <f>AND(#REF!,"AAAAAH/uvRM=")</f>
        <v>#REF!</v>
      </c>
      <c r="U41" t="e">
        <f>AND(#REF!,"AAAAAH/uvRQ=")</f>
        <v>#REF!</v>
      </c>
      <c r="V41" t="e">
        <f>AND(#REF!,"AAAAAH/uvRU=")</f>
        <v>#REF!</v>
      </c>
      <c r="W41" t="e">
        <f>AND(#REF!,"AAAAAH/uvRY=")</f>
        <v>#REF!</v>
      </c>
      <c r="X41" t="e">
        <f>AND(#REF!,"AAAAAH/uvRc=")</f>
        <v>#REF!</v>
      </c>
      <c r="Y41" t="e">
        <f>AND(#REF!,"AAAAAH/uvRg=")</f>
        <v>#REF!</v>
      </c>
      <c r="Z41" t="e">
        <f>AND(#REF!,"AAAAAH/uvRk=")</f>
        <v>#REF!</v>
      </c>
      <c r="AA41" t="e">
        <f>AND(#REF!,"AAAAAH/uvRo=")</f>
        <v>#REF!</v>
      </c>
      <c r="AB41" t="e">
        <f>AND(#REF!,"AAAAAH/uvRs=")</f>
        <v>#REF!</v>
      </c>
      <c r="AC41" t="e">
        <f>AND(#REF!,"AAAAAH/uvRw=")</f>
        <v>#REF!</v>
      </c>
      <c r="AD41" t="e">
        <f>AND(#REF!,"AAAAAH/uvR0=")</f>
        <v>#REF!</v>
      </c>
      <c r="AE41" t="e">
        <f>AND(#REF!,"AAAAAH/uvR4=")</f>
        <v>#REF!</v>
      </c>
      <c r="AF41" t="e">
        <f>AND(#REF!,"AAAAAH/uvR8=")</f>
        <v>#REF!</v>
      </c>
      <c r="AG41" t="e">
        <f>AND(#REF!,"AAAAAH/uvSA=")</f>
        <v>#REF!</v>
      </c>
      <c r="AH41" t="e">
        <f>AND(#REF!,"AAAAAH/uvSE=")</f>
        <v>#REF!</v>
      </c>
      <c r="AI41" t="e">
        <f>AND(#REF!,"AAAAAH/uvSI=")</f>
        <v>#REF!</v>
      </c>
      <c r="AJ41" t="e">
        <f>AND(#REF!,"AAAAAH/uvSM=")</f>
        <v>#REF!</v>
      </c>
      <c r="AK41" t="e">
        <f>AND(#REF!,"AAAAAH/uvSQ=")</f>
        <v>#REF!</v>
      </c>
      <c r="AL41" t="e">
        <f>AND(#REF!,"AAAAAH/uvSU=")</f>
        <v>#REF!</v>
      </c>
      <c r="AM41" t="e">
        <f>AND(#REF!,"AAAAAH/uvSY=")</f>
        <v>#REF!</v>
      </c>
      <c r="AN41" t="e">
        <f>AND(#REF!,"AAAAAH/uvSc=")</f>
        <v>#REF!</v>
      </c>
      <c r="AO41" t="e">
        <f>AND(#REF!,"AAAAAH/uvSg=")</f>
        <v>#REF!</v>
      </c>
      <c r="AP41" t="e">
        <f>AND(#REF!,"AAAAAH/uvSk=")</f>
        <v>#REF!</v>
      </c>
      <c r="AQ41" t="e">
        <f>IF(#REF!,"AAAAAH/uvSo=",0)</f>
        <v>#REF!</v>
      </c>
      <c r="AR41" t="e">
        <f>AND(#REF!,"AAAAAH/uvSs=")</f>
        <v>#REF!</v>
      </c>
      <c r="AS41" t="e">
        <f>AND(#REF!,"AAAAAH/uvSw=")</f>
        <v>#REF!</v>
      </c>
      <c r="AT41" t="e">
        <f>AND(#REF!,"AAAAAH/uvS0=")</f>
        <v>#REF!</v>
      </c>
      <c r="AU41" t="e">
        <f>AND(#REF!,"AAAAAH/uvS4=")</f>
        <v>#REF!</v>
      </c>
      <c r="AV41" t="e">
        <f>AND(#REF!,"AAAAAH/uvS8=")</f>
        <v>#REF!</v>
      </c>
      <c r="AW41" t="e">
        <f>AND(#REF!,"AAAAAH/uvTA=")</f>
        <v>#REF!</v>
      </c>
      <c r="AX41" t="e">
        <f>AND(#REF!,"AAAAAH/uvTE=")</f>
        <v>#REF!</v>
      </c>
      <c r="AY41" t="e">
        <f>AND(#REF!,"AAAAAH/uvTI=")</f>
        <v>#REF!</v>
      </c>
      <c r="AZ41" t="e">
        <f>AND(#REF!,"AAAAAH/uvTM=")</f>
        <v>#REF!</v>
      </c>
      <c r="BA41" t="e">
        <f>AND(#REF!,"AAAAAH/uvTQ=")</f>
        <v>#REF!</v>
      </c>
      <c r="BB41" t="e">
        <f>AND(#REF!,"AAAAAH/uvTU=")</f>
        <v>#REF!</v>
      </c>
      <c r="BC41" t="e">
        <f>AND(#REF!,"AAAAAH/uvTY=")</f>
        <v>#REF!</v>
      </c>
      <c r="BD41" t="e">
        <f>AND(#REF!,"AAAAAH/uvTc=")</f>
        <v>#REF!</v>
      </c>
      <c r="BE41" t="e">
        <f>AND(#REF!,"AAAAAH/uvTg=")</f>
        <v>#REF!</v>
      </c>
      <c r="BF41" t="e">
        <f>AND(#REF!,"AAAAAH/uvTk=")</f>
        <v>#REF!</v>
      </c>
      <c r="BG41" t="e">
        <f>AND(#REF!,"AAAAAH/uvTo=")</f>
        <v>#REF!</v>
      </c>
      <c r="BH41" t="e">
        <f>AND(#REF!,"AAAAAH/uvTs=")</f>
        <v>#REF!</v>
      </c>
      <c r="BI41" t="e">
        <f>AND(#REF!,"AAAAAH/uvTw=")</f>
        <v>#REF!</v>
      </c>
      <c r="BJ41" t="e">
        <f>AND(#REF!,"AAAAAH/uvT0=")</f>
        <v>#REF!</v>
      </c>
      <c r="BK41" t="e">
        <f>AND(#REF!,"AAAAAH/uvT4=")</f>
        <v>#REF!</v>
      </c>
      <c r="BL41" t="e">
        <f>AND(#REF!,"AAAAAH/uvT8=")</f>
        <v>#REF!</v>
      </c>
      <c r="BM41" t="e">
        <f>AND(#REF!,"AAAAAH/uvUA=")</f>
        <v>#REF!</v>
      </c>
      <c r="BN41" t="e">
        <f>AND(#REF!,"AAAAAH/uvUE=")</f>
        <v>#REF!</v>
      </c>
      <c r="BO41" t="e">
        <f>AND(#REF!,"AAAAAH/uvUI=")</f>
        <v>#REF!</v>
      </c>
      <c r="BP41" t="e">
        <f>AND(#REF!,"AAAAAH/uvUM=")</f>
        <v>#REF!</v>
      </c>
      <c r="BQ41" t="e">
        <f>AND(#REF!,"AAAAAH/uvUQ=")</f>
        <v>#REF!</v>
      </c>
      <c r="BR41" t="e">
        <f>AND(#REF!,"AAAAAH/uvUU=")</f>
        <v>#REF!</v>
      </c>
      <c r="BS41" t="e">
        <f>AND(#REF!,"AAAAAH/uvUY=")</f>
        <v>#REF!</v>
      </c>
      <c r="BT41" t="e">
        <f>AND(#REF!,"AAAAAH/uvUc=")</f>
        <v>#REF!</v>
      </c>
      <c r="BU41" t="e">
        <f>AND(#REF!,"AAAAAH/uvUg=")</f>
        <v>#REF!</v>
      </c>
      <c r="BV41" t="e">
        <f>AND(#REF!,"AAAAAH/uvUk=")</f>
        <v>#REF!</v>
      </c>
      <c r="BW41" t="e">
        <f>AND(#REF!,"AAAAAH/uvUo=")</f>
        <v>#REF!</v>
      </c>
      <c r="BX41" t="e">
        <f>AND(#REF!,"AAAAAH/uvUs=")</f>
        <v>#REF!</v>
      </c>
      <c r="BY41" t="e">
        <f>AND(#REF!,"AAAAAH/uvUw=")</f>
        <v>#REF!</v>
      </c>
      <c r="BZ41" t="e">
        <f>AND(#REF!,"AAAAAH/uvU0=")</f>
        <v>#REF!</v>
      </c>
      <c r="CA41" t="e">
        <f>AND(#REF!,"AAAAAH/uvU4=")</f>
        <v>#REF!</v>
      </c>
      <c r="CB41" t="e">
        <f>AND(#REF!,"AAAAAH/uvU8=")</f>
        <v>#REF!</v>
      </c>
      <c r="CC41" t="e">
        <f>AND(#REF!,"AAAAAH/uvVA=")</f>
        <v>#REF!</v>
      </c>
      <c r="CD41" t="e">
        <f>AND(#REF!,"AAAAAH/uvVE=")</f>
        <v>#REF!</v>
      </c>
      <c r="CE41" t="e">
        <f>AND(#REF!,"AAAAAH/uvVI=")</f>
        <v>#REF!</v>
      </c>
      <c r="CF41" t="e">
        <f>AND(#REF!,"AAAAAH/uvVM=")</f>
        <v>#REF!</v>
      </c>
      <c r="CG41" t="e">
        <f>AND(#REF!,"AAAAAH/uvVQ=")</f>
        <v>#REF!</v>
      </c>
      <c r="CH41" t="e">
        <f>AND(#REF!,"AAAAAH/uvVU=")</f>
        <v>#REF!</v>
      </c>
      <c r="CI41" t="e">
        <f>AND(#REF!,"AAAAAH/uvVY=")</f>
        <v>#REF!</v>
      </c>
      <c r="CJ41" t="e">
        <f>AND(#REF!,"AAAAAH/uvVc=")</f>
        <v>#REF!</v>
      </c>
      <c r="CK41" t="e">
        <f>AND(#REF!,"AAAAAH/uvVg=")</f>
        <v>#REF!</v>
      </c>
      <c r="CL41" t="e">
        <f>AND(#REF!,"AAAAAH/uvVk=")</f>
        <v>#REF!</v>
      </c>
      <c r="CM41" t="e">
        <f>AND(#REF!,"AAAAAH/uvVo=")</f>
        <v>#REF!</v>
      </c>
      <c r="CN41" t="e">
        <f>AND(#REF!,"AAAAAH/uvVs=")</f>
        <v>#REF!</v>
      </c>
      <c r="CO41" t="e">
        <f>AND(#REF!,"AAAAAH/uvVw=")</f>
        <v>#REF!</v>
      </c>
      <c r="CP41" t="e">
        <f>AND(#REF!,"AAAAAH/uvV0=")</f>
        <v>#REF!</v>
      </c>
      <c r="CQ41" t="e">
        <f>AND(#REF!,"AAAAAH/uvV4=")</f>
        <v>#REF!</v>
      </c>
      <c r="CR41" t="e">
        <f>AND(#REF!,"AAAAAH/uvV8=")</f>
        <v>#REF!</v>
      </c>
      <c r="CS41" t="e">
        <f>AND(#REF!,"AAAAAH/uvWA=")</f>
        <v>#REF!</v>
      </c>
      <c r="CT41" t="e">
        <f>AND(#REF!,"AAAAAH/uvWE=")</f>
        <v>#REF!</v>
      </c>
      <c r="CU41" t="e">
        <f>AND(#REF!,"AAAAAH/uvWI=")</f>
        <v>#REF!</v>
      </c>
      <c r="CV41" t="e">
        <f>AND(#REF!,"AAAAAH/uvWM=")</f>
        <v>#REF!</v>
      </c>
      <c r="CW41" t="e">
        <f>AND(#REF!,"AAAAAH/uvWQ=")</f>
        <v>#REF!</v>
      </c>
      <c r="CX41" t="e">
        <f>AND(#REF!,"AAAAAH/uvWU=")</f>
        <v>#REF!</v>
      </c>
      <c r="CY41" t="e">
        <f>AND(#REF!,"AAAAAH/uvWY=")</f>
        <v>#REF!</v>
      </c>
      <c r="CZ41" t="e">
        <f>AND(#REF!,"AAAAAH/uvWc=")</f>
        <v>#REF!</v>
      </c>
      <c r="DA41" t="e">
        <f>AND(#REF!,"AAAAAH/uvWg=")</f>
        <v>#REF!</v>
      </c>
      <c r="DB41" t="e">
        <f>AND(#REF!,"AAAAAH/uvWk=")</f>
        <v>#REF!</v>
      </c>
      <c r="DC41" t="e">
        <f>AND(#REF!,"AAAAAH/uvWo=")</f>
        <v>#REF!</v>
      </c>
      <c r="DD41" t="e">
        <f>AND(#REF!,"AAAAAH/uvWs=")</f>
        <v>#REF!</v>
      </c>
      <c r="DE41" t="e">
        <f>AND(#REF!,"AAAAAH/uvWw=")</f>
        <v>#REF!</v>
      </c>
      <c r="DF41" t="e">
        <f>AND(#REF!,"AAAAAH/uvW0=")</f>
        <v>#REF!</v>
      </c>
      <c r="DG41" t="e">
        <f>AND(#REF!,"AAAAAH/uvW4=")</f>
        <v>#REF!</v>
      </c>
      <c r="DH41" t="e">
        <f>AND(#REF!,"AAAAAH/uvW8=")</f>
        <v>#REF!</v>
      </c>
      <c r="DI41" t="e">
        <f>AND(#REF!,"AAAAAH/uvXA=")</f>
        <v>#REF!</v>
      </c>
      <c r="DJ41" t="e">
        <f>AND(#REF!,"AAAAAH/uvXE=")</f>
        <v>#REF!</v>
      </c>
      <c r="DK41" t="e">
        <f>AND(#REF!,"AAAAAH/uvXI=")</f>
        <v>#REF!</v>
      </c>
      <c r="DL41" t="e">
        <f>AND(#REF!,"AAAAAH/uvXM=")</f>
        <v>#REF!</v>
      </c>
      <c r="DM41" t="e">
        <f>AND(#REF!,"AAAAAH/uvXQ=")</f>
        <v>#REF!</v>
      </c>
      <c r="DN41" t="e">
        <f>IF(#REF!,"AAAAAH/uvXU=",0)</f>
        <v>#REF!</v>
      </c>
      <c r="DO41" t="e">
        <f>AND(#REF!,"AAAAAH/uvXY=")</f>
        <v>#REF!</v>
      </c>
      <c r="DP41" t="e">
        <f>AND(#REF!,"AAAAAH/uvXc=")</f>
        <v>#REF!</v>
      </c>
      <c r="DQ41" t="e">
        <f>AND(#REF!,"AAAAAH/uvXg=")</f>
        <v>#REF!</v>
      </c>
      <c r="DR41" t="e">
        <f>AND(#REF!,"AAAAAH/uvXk=")</f>
        <v>#REF!</v>
      </c>
      <c r="DS41" t="e">
        <f>AND(#REF!,"AAAAAH/uvXo=")</f>
        <v>#REF!</v>
      </c>
      <c r="DT41" t="e">
        <f>AND(#REF!,"AAAAAH/uvXs=")</f>
        <v>#REF!</v>
      </c>
      <c r="DU41" t="e">
        <f>AND(#REF!,"AAAAAH/uvXw=")</f>
        <v>#REF!</v>
      </c>
      <c r="DV41" t="e">
        <f>AND(#REF!,"AAAAAH/uvX0=")</f>
        <v>#REF!</v>
      </c>
      <c r="DW41" t="e">
        <f>AND(#REF!,"AAAAAH/uvX4=")</f>
        <v>#REF!</v>
      </c>
      <c r="DX41" t="e">
        <f>AND(#REF!,"AAAAAH/uvX8=")</f>
        <v>#REF!</v>
      </c>
      <c r="DY41" t="e">
        <f>AND(#REF!,"AAAAAH/uvYA=")</f>
        <v>#REF!</v>
      </c>
      <c r="DZ41" t="e">
        <f>AND(#REF!,"AAAAAH/uvYE=")</f>
        <v>#REF!</v>
      </c>
      <c r="EA41" t="e">
        <f>AND(#REF!,"AAAAAH/uvYI=")</f>
        <v>#REF!</v>
      </c>
      <c r="EB41" t="e">
        <f>AND(#REF!,"AAAAAH/uvYM=")</f>
        <v>#REF!</v>
      </c>
      <c r="EC41" t="e">
        <f>AND(#REF!,"AAAAAH/uvYQ=")</f>
        <v>#REF!</v>
      </c>
      <c r="ED41" t="e">
        <f>AND(#REF!,"AAAAAH/uvYU=")</f>
        <v>#REF!</v>
      </c>
      <c r="EE41" t="e">
        <f>AND(#REF!,"AAAAAH/uvYY=")</f>
        <v>#REF!</v>
      </c>
      <c r="EF41" t="e">
        <f>AND(#REF!,"AAAAAH/uvYc=")</f>
        <v>#REF!</v>
      </c>
      <c r="EG41" t="e">
        <f>AND(#REF!,"AAAAAH/uvYg=")</f>
        <v>#REF!</v>
      </c>
      <c r="EH41" t="e">
        <f>AND(#REF!,"AAAAAH/uvYk=")</f>
        <v>#REF!</v>
      </c>
      <c r="EI41" t="e">
        <f>AND(#REF!,"AAAAAH/uvYo=")</f>
        <v>#REF!</v>
      </c>
      <c r="EJ41" t="e">
        <f>AND(#REF!,"AAAAAH/uvYs=")</f>
        <v>#REF!</v>
      </c>
      <c r="EK41" t="e">
        <f>AND(#REF!,"AAAAAH/uvYw=")</f>
        <v>#REF!</v>
      </c>
      <c r="EL41" t="e">
        <f>AND(#REF!,"AAAAAH/uvY0=")</f>
        <v>#REF!</v>
      </c>
      <c r="EM41" t="e">
        <f>AND(#REF!,"AAAAAH/uvY4=")</f>
        <v>#REF!</v>
      </c>
      <c r="EN41" t="e">
        <f>AND(#REF!,"AAAAAH/uvY8=")</f>
        <v>#REF!</v>
      </c>
      <c r="EO41" t="e">
        <f>AND(#REF!,"AAAAAH/uvZA=")</f>
        <v>#REF!</v>
      </c>
      <c r="EP41" t="e">
        <f>AND(#REF!,"AAAAAH/uvZE=")</f>
        <v>#REF!</v>
      </c>
      <c r="EQ41" t="e">
        <f>AND(#REF!,"AAAAAH/uvZI=")</f>
        <v>#REF!</v>
      </c>
      <c r="ER41" t="e">
        <f>AND(#REF!,"AAAAAH/uvZM=")</f>
        <v>#REF!</v>
      </c>
      <c r="ES41" t="e">
        <f>AND(#REF!,"AAAAAH/uvZQ=")</f>
        <v>#REF!</v>
      </c>
      <c r="ET41" t="e">
        <f>AND(#REF!,"AAAAAH/uvZU=")</f>
        <v>#REF!</v>
      </c>
      <c r="EU41" t="e">
        <f>AND(#REF!,"AAAAAH/uvZY=")</f>
        <v>#REF!</v>
      </c>
      <c r="EV41" t="e">
        <f>AND(#REF!,"AAAAAH/uvZc=")</f>
        <v>#REF!</v>
      </c>
      <c r="EW41" t="e">
        <f>AND(#REF!,"AAAAAH/uvZg=")</f>
        <v>#REF!</v>
      </c>
      <c r="EX41" t="e">
        <f>AND(#REF!,"AAAAAH/uvZk=")</f>
        <v>#REF!</v>
      </c>
      <c r="EY41" t="e">
        <f>AND(#REF!,"AAAAAH/uvZo=")</f>
        <v>#REF!</v>
      </c>
      <c r="EZ41" t="e">
        <f>AND(#REF!,"AAAAAH/uvZs=")</f>
        <v>#REF!</v>
      </c>
      <c r="FA41" t="e">
        <f>AND(#REF!,"AAAAAH/uvZw=")</f>
        <v>#REF!</v>
      </c>
      <c r="FB41" t="e">
        <f>AND(#REF!,"AAAAAH/uvZ0=")</f>
        <v>#REF!</v>
      </c>
      <c r="FC41" t="e">
        <f>AND(#REF!,"AAAAAH/uvZ4=")</f>
        <v>#REF!</v>
      </c>
      <c r="FD41" t="e">
        <f>AND(#REF!,"AAAAAH/uvZ8=")</f>
        <v>#REF!</v>
      </c>
      <c r="FE41" t="e">
        <f>AND(#REF!,"AAAAAH/uvaA=")</f>
        <v>#REF!</v>
      </c>
      <c r="FF41" t="e">
        <f>AND(#REF!,"AAAAAH/uvaE=")</f>
        <v>#REF!</v>
      </c>
      <c r="FG41" t="e">
        <f>AND(#REF!,"AAAAAH/uvaI=")</f>
        <v>#REF!</v>
      </c>
      <c r="FH41" t="e">
        <f>AND(#REF!,"AAAAAH/uvaM=")</f>
        <v>#REF!</v>
      </c>
      <c r="FI41" t="e">
        <f>AND(#REF!,"AAAAAH/uvaQ=")</f>
        <v>#REF!</v>
      </c>
      <c r="FJ41" t="e">
        <f>AND(#REF!,"AAAAAH/uvaU=")</f>
        <v>#REF!</v>
      </c>
      <c r="FK41" t="e">
        <f>AND(#REF!,"AAAAAH/uvaY=")</f>
        <v>#REF!</v>
      </c>
      <c r="FL41" t="e">
        <f>AND(#REF!,"AAAAAH/uvac=")</f>
        <v>#REF!</v>
      </c>
      <c r="FM41" t="e">
        <f>AND(#REF!,"AAAAAH/uvag=")</f>
        <v>#REF!</v>
      </c>
      <c r="FN41" t="e">
        <f>AND(#REF!,"AAAAAH/uvak=")</f>
        <v>#REF!</v>
      </c>
      <c r="FO41" t="e">
        <f>AND(#REF!,"AAAAAH/uvao=")</f>
        <v>#REF!</v>
      </c>
      <c r="FP41" t="e">
        <f>AND(#REF!,"AAAAAH/uvas=")</f>
        <v>#REF!</v>
      </c>
      <c r="FQ41" t="e">
        <f>AND(#REF!,"AAAAAH/uvaw=")</f>
        <v>#REF!</v>
      </c>
      <c r="FR41" t="e">
        <f>AND(#REF!,"AAAAAH/uva0=")</f>
        <v>#REF!</v>
      </c>
      <c r="FS41" t="e">
        <f>AND(#REF!,"AAAAAH/uva4=")</f>
        <v>#REF!</v>
      </c>
      <c r="FT41" t="e">
        <f>AND(#REF!,"AAAAAH/uva8=")</f>
        <v>#REF!</v>
      </c>
      <c r="FU41" t="e">
        <f>AND(#REF!,"AAAAAH/uvbA=")</f>
        <v>#REF!</v>
      </c>
      <c r="FV41" t="e">
        <f>AND(#REF!,"AAAAAH/uvbE=")</f>
        <v>#REF!</v>
      </c>
      <c r="FW41" t="e">
        <f>AND(#REF!,"AAAAAH/uvbI=")</f>
        <v>#REF!</v>
      </c>
      <c r="FX41" t="e">
        <f>AND(#REF!,"AAAAAH/uvbM=")</f>
        <v>#REF!</v>
      </c>
      <c r="FY41" t="e">
        <f>AND(#REF!,"AAAAAH/uvbQ=")</f>
        <v>#REF!</v>
      </c>
      <c r="FZ41" t="e">
        <f>AND(#REF!,"AAAAAH/uvbU=")</f>
        <v>#REF!</v>
      </c>
      <c r="GA41" t="e">
        <f>AND(#REF!,"AAAAAH/uvbY=")</f>
        <v>#REF!</v>
      </c>
      <c r="GB41" t="e">
        <f>AND(#REF!,"AAAAAH/uvbc=")</f>
        <v>#REF!</v>
      </c>
      <c r="GC41" t="e">
        <f>AND(#REF!,"AAAAAH/uvbg=")</f>
        <v>#REF!</v>
      </c>
      <c r="GD41" t="e">
        <f>AND(#REF!,"AAAAAH/uvbk=")</f>
        <v>#REF!</v>
      </c>
      <c r="GE41" t="e">
        <f>AND(#REF!,"AAAAAH/uvbo=")</f>
        <v>#REF!</v>
      </c>
      <c r="GF41" t="e">
        <f>AND(#REF!,"AAAAAH/uvbs=")</f>
        <v>#REF!</v>
      </c>
      <c r="GG41" t="e">
        <f>AND(#REF!,"AAAAAH/uvbw=")</f>
        <v>#REF!</v>
      </c>
      <c r="GH41" t="e">
        <f>AND(#REF!,"AAAAAH/uvb0=")</f>
        <v>#REF!</v>
      </c>
      <c r="GI41" t="e">
        <f>AND(#REF!,"AAAAAH/uvb4=")</f>
        <v>#REF!</v>
      </c>
      <c r="GJ41" t="e">
        <f>AND(#REF!,"AAAAAH/uvb8=")</f>
        <v>#REF!</v>
      </c>
      <c r="GK41" t="e">
        <f>IF(#REF!,"AAAAAH/uvcA=",0)</f>
        <v>#REF!</v>
      </c>
      <c r="GL41" t="e">
        <f>AND(#REF!,"AAAAAH/uvcE=")</f>
        <v>#REF!</v>
      </c>
      <c r="GM41" t="e">
        <f>AND(#REF!,"AAAAAH/uvcI=")</f>
        <v>#REF!</v>
      </c>
      <c r="GN41" t="e">
        <f>AND(#REF!,"AAAAAH/uvcM=")</f>
        <v>#REF!</v>
      </c>
      <c r="GO41" t="e">
        <f>AND(#REF!,"AAAAAH/uvcQ=")</f>
        <v>#REF!</v>
      </c>
      <c r="GP41" t="e">
        <f>AND(#REF!,"AAAAAH/uvcU=")</f>
        <v>#REF!</v>
      </c>
      <c r="GQ41" t="e">
        <f>AND(#REF!,"AAAAAH/uvcY=")</f>
        <v>#REF!</v>
      </c>
      <c r="GR41" t="e">
        <f>AND(#REF!,"AAAAAH/uvcc=")</f>
        <v>#REF!</v>
      </c>
      <c r="GS41" t="e">
        <f>AND(#REF!,"AAAAAH/uvcg=")</f>
        <v>#REF!</v>
      </c>
      <c r="GT41" t="e">
        <f>AND(#REF!,"AAAAAH/uvck=")</f>
        <v>#REF!</v>
      </c>
      <c r="GU41" t="e">
        <f>AND(#REF!,"AAAAAH/uvco=")</f>
        <v>#REF!</v>
      </c>
      <c r="GV41" t="e">
        <f>AND(#REF!,"AAAAAH/uvcs=")</f>
        <v>#REF!</v>
      </c>
      <c r="GW41" t="e">
        <f>AND(#REF!,"AAAAAH/uvcw=")</f>
        <v>#REF!</v>
      </c>
      <c r="GX41" t="e">
        <f>AND(#REF!,"AAAAAH/uvc0=")</f>
        <v>#REF!</v>
      </c>
      <c r="GY41" t="e">
        <f>AND(#REF!,"AAAAAH/uvc4=")</f>
        <v>#REF!</v>
      </c>
      <c r="GZ41" t="e">
        <f>AND(#REF!,"AAAAAH/uvc8=")</f>
        <v>#REF!</v>
      </c>
      <c r="HA41" t="e">
        <f>AND(#REF!,"AAAAAH/uvdA=")</f>
        <v>#REF!</v>
      </c>
      <c r="HB41" t="e">
        <f>AND(#REF!,"AAAAAH/uvdE=")</f>
        <v>#REF!</v>
      </c>
      <c r="HC41" t="e">
        <f>AND(#REF!,"AAAAAH/uvdI=")</f>
        <v>#REF!</v>
      </c>
      <c r="HD41" t="e">
        <f>AND(#REF!,"AAAAAH/uvdM=")</f>
        <v>#REF!</v>
      </c>
      <c r="HE41" t="e">
        <f>AND(#REF!,"AAAAAH/uvdQ=")</f>
        <v>#REF!</v>
      </c>
      <c r="HF41" t="e">
        <f>AND(#REF!,"AAAAAH/uvdU=")</f>
        <v>#REF!</v>
      </c>
      <c r="HG41" t="e">
        <f>AND(#REF!,"AAAAAH/uvdY=")</f>
        <v>#REF!</v>
      </c>
      <c r="HH41" t="e">
        <f>AND(#REF!,"AAAAAH/uvdc=")</f>
        <v>#REF!</v>
      </c>
      <c r="HI41" t="e">
        <f>AND(#REF!,"AAAAAH/uvdg=")</f>
        <v>#REF!</v>
      </c>
      <c r="HJ41" t="e">
        <f>AND(#REF!,"AAAAAH/uvdk=")</f>
        <v>#REF!</v>
      </c>
      <c r="HK41" t="e">
        <f>AND(#REF!,"AAAAAH/uvdo=")</f>
        <v>#REF!</v>
      </c>
      <c r="HL41" t="e">
        <f>AND(#REF!,"AAAAAH/uvds=")</f>
        <v>#REF!</v>
      </c>
      <c r="HM41" t="e">
        <f>AND(#REF!,"AAAAAH/uvdw=")</f>
        <v>#REF!</v>
      </c>
      <c r="HN41" t="e">
        <f>AND(#REF!,"AAAAAH/uvd0=")</f>
        <v>#REF!</v>
      </c>
      <c r="HO41" t="e">
        <f>AND(#REF!,"AAAAAH/uvd4=")</f>
        <v>#REF!</v>
      </c>
      <c r="HP41" t="e">
        <f>AND(#REF!,"AAAAAH/uvd8=")</f>
        <v>#REF!</v>
      </c>
      <c r="HQ41" t="e">
        <f>AND(#REF!,"AAAAAH/uveA=")</f>
        <v>#REF!</v>
      </c>
      <c r="HR41" t="e">
        <f>AND(#REF!,"AAAAAH/uveE=")</f>
        <v>#REF!</v>
      </c>
      <c r="HS41" t="e">
        <f>AND(#REF!,"AAAAAH/uveI=")</f>
        <v>#REF!</v>
      </c>
      <c r="HT41" t="e">
        <f>AND(#REF!,"AAAAAH/uveM=")</f>
        <v>#REF!</v>
      </c>
      <c r="HU41" t="e">
        <f>AND(#REF!,"AAAAAH/uveQ=")</f>
        <v>#REF!</v>
      </c>
      <c r="HV41" t="e">
        <f>AND(#REF!,"AAAAAH/uveU=")</f>
        <v>#REF!</v>
      </c>
      <c r="HW41" t="e">
        <f>AND(#REF!,"AAAAAH/uveY=")</f>
        <v>#REF!</v>
      </c>
      <c r="HX41" t="e">
        <f>AND(#REF!,"AAAAAH/uvec=")</f>
        <v>#REF!</v>
      </c>
      <c r="HY41" t="e">
        <f>AND(#REF!,"AAAAAH/uveg=")</f>
        <v>#REF!</v>
      </c>
      <c r="HZ41" t="e">
        <f>AND(#REF!,"AAAAAH/uvek=")</f>
        <v>#REF!</v>
      </c>
      <c r="IA41" t="e">
        <f>AND(#REF!,"AAAAAH/uveo=")</f>
        <v>#REF!</v>
      </c>
      <c r="IB41" t="e">
        <f>AND(#REF!,"AAAAAH/uves=")</f>
        <v>#REF!</v>
      </c>
      <c r="IC41" t="e">
        <f>AND(#REF!,"AAAAAH/uvew=")</f>
        <v>#REF!</v>
      </c>
      <c r="ID41" t="e">
        <f>AND(#REF!,"AAAAAH/uve0=")</f>
        <v>#REF!</v>
      </c>
      <c r="IE41" t="e">
        <f>AND(#REF!,"AAAAAH/uve4=")</f>
        <v>#REF!</v>
      </c>
      <c r="IF41" t="e">
        <f>AND(#REF!,"AAAAAH/uve8=")</f>
        <v>#REF!</v>
      </c>
      <c r="IG41" t="e">
        <f>AND(#REF!,"AAAAAH/uvfA=")</f>
        <v>#REF!</v>
      </c>
      <c r="IH41" t="e">
        <f>AND(#REF!,"AAAAAH/uvfE=")</f>
        <v>#REF!</v>
      </c>
      <c r="II41" t="e">
        <f>AND(#REF!,"AAAAAH/uvfI=")</f>
        <v>#REF!</v>
      </c>
      <c r="IJ41" t="e">
        <f>AND(#REF!,"AAAAAH/uvfM=")</f>
        <v>#REF!</v>
      </c>
      <c r="IK41" t="e">
        <f>AND(#REF!,"AAAAAH/uvfQ=")</f>
        <v>#REF!</v>
      </c>
      <c r="IL41" t="e">
        <f>AND(#REF!,"AAAAAH/uvfU=")</f>
        <v>#REF!</v>
      </c>
      <c r="IM41" t="e">
        <f>AND(#REF!,"AAAAAH/uvfY=")</f>
        <v>#REF!</v>
      </c>
      <c r="IN41" t="e">
        <f>AND(#REF!,"AAAAAH/uvfc=")</f>
        <v>#REF!</v>
      </c>
      <c r="IO41" t="e">
        <f>AND(#REF!,"AAAAAH/uvfg=")</f>
        <v>#REF!</v>
      </c>
      <c r="IP41" t="e">
        <f>AND(#REF!,"AAAAAH/uvfk=")</f>
        <v>#REF!</v>
      </c>
      <c r="IQ41" t="e">
        <f>AND(#REF!,"AAAAAH/uvfo=")</f>
        <v>#REF!</v>
      </c>
      <c r="IR41" t="e">
        <f>AND(#REF!,"AAAAAH/uvfs=")</f>
        <v>#REF!</v>
      </c>
      <c r="IS41" t="e">
        <f>AND(#REF!,"AAAAAH/uvfw=")</f>
        <v>#REF!</v>
      </c>
      <c r="IT41" t="e">
        <f>AND(#REF!,"AAAAAH/uvf0=")</f>
        <v>#REF!</v>
      </c>
      <c r="IU41" t="e">
        <f>AND(#REF!,"AAAAAH/uvf4=")</f>
        <v>#REF!</v>
      </c>
      <c r="IV41" t="e">
        <f>AND(#REF!,"AAAAAH/uvf8=")</f>
        <v>#REF!</v>
      </c>
    </row>
    <row r="42" spans="1:256" x14ac:dyDescent="0.2">
      <c r="A42" t="e">
        <f>AND(#REF!,"AAAAAHX8+wA=")</f>
        <v>#REF!</v>
      </c>
      <c r="B42" t="e">
        <f>AND(#REF!,"AAAAAHX8+wE=")</f>
        <v>#REF!</v>
      </c>
      <c r="C42" t="e">
        <f>AND(#REF!,"AAAAAHX8+wI=")</f>
        <v>#REF!</v>
      </c>
      <c r="D42" t="e">
        <f>AND(#REF!,"AAAAAHX8+wM=")</f>
        <v>#REF!</v>
      </c>
      <c r="E42" t="e">
        <f>AND(#REF!,"AAAAAHX8+wQ=")</f>
        <v>#REF!</v>
      </c>
      <c r="F42" t="e">
        <f>AND(#REF!,"AAAAAHX8+wU=")</f>
        <v>#REF!</v>
      </c>
      <c r="G42" t="e">
        <f>AND(#REF!,"AAAAAHX8+wY=")</f>
        <v>#REF!</v>
      </c>
      <c r="H42" t="e">
        <f>AND(#REF!,"AAAAAHX8+wc=")</f>
        <v>#REF!</v>
      </c>
      <c r="I42" t="e">
        <f>AND(#REF!,"AAAAAHX8+wg=")</f>
        <v>#REF!</v>
      </c>
      <c r="J42" t="e">
        <f>AND(#REF!,"AAAAAHX8+wk=")</f>
        <v>#REF!</v>
      </c>
      <c r="K42" t="e">
        <f>AND(#REF!,"AAAAAHX8+wo=")</f>
        <v>#REF!</v>
      </c>
      <c r="L42" t="e">
        <f>IF(#REF!,"AAAAAHX8+ws=",0)</f>
        <v>#REF!</v>
      </c>
      <c r="M42" t="e">
        <f>AND(#REF!,"AAAAAHX8+ww=")</f>
        <v>#REF!</v>
      </c>
      <c r="N42" t="e">
        <f>AND(#REF!,"AAAAAHX8+w0=")</f>
        <v>#REF!</v>
      </c>
      <c r="O42" t="e">
        <f>AND(#REF!,"AAAAAHX8+w4=")</f>
        <v>#REF!</v>
      </c>
      <c r="P42" t="e">
        <f>AND(#REF!,"AAAAAHX8+w8=")</f>
        <v>#REF!</v>
      </c>
      <c r="Q42" t="e">
        <f>AND(#REF!,"AAAAAHX8+xA=")</f>
        <v>#REF!</v>
      </c>
      <c r="R42" t="e">
        <f>AND(#REF!,"AAAAAHX8+xE=")</f>
        <v>#REF!</v>
      </c>
      <c r="S42" t="e">
        <f>AND(#REF!,"AAAAAHX8+xI=")</f>
        <v>#REF!</v>
      </c>
      <c r="T42" t="e">
        <f>AND(#REF!,"AAAAAHX8+xM=")</f>
        <v>#REF!</v>
      </c>
      <c r="U42" t="e">
        <f>AND(#REF!,"AAAAAHX8+xQ=")</f>
        <v>#REF!</v>
      </c>
      <c r="V42" t="e">
        <f>AND(#REF!,"AAAAAHX8+xU=")</f>
        <v>#REF!</v>
      </c>
      <c r="W42" t="e">
        <f>AND(#REF!,"AAAAAHX8+xY=")</f>
        <v>#REF!</v>
      </c>
      <c r="X42" t="e">
        <f>AND(#REF!,"AAAAAHX8+xc=")</f>
        <v>#REF!</v>
      </c>
      <c r="Y42" t="e">
        <f>AND(#REF!,"AAAAAHX8+xg=")</f>
        <v>#REF!</v>
      </c>
      <c r="Z42" t="e">
        <f>AND(#REF!,"AAAAAHX8+xk=")</f>
        <v>#REF!</v>
      </c>
      <c r="AA42" t="e">
        <f>AND(#REF!,"AAAAAHX8+xo=")</f>
        <v>#REF!</v>
      </c>
      <c r="AB42" t="e">
        <f>AND(#REF!,"AAAAAHX8+xs=")</f>
        <v>#REF!</v>
      </c>
      <c r="AC42" t="e">
        <f>AND(#REF!,"AAAAAHX8+xw=")</f>
        <v>#REF!</v>
      </c>
      <c r="AD42" t="e">
        <f>AND(#REF!,"AAAAAHX8+x0=")</f>
        <v>#REF!</v>
      </c>
      <c r="AE42" t="e">
        <f>AND(#REF!,"AAAAAHX8+x4=")</f>
        <v>#REF!</v>
      </c>
      <c r="AF42" t="e">
        <f>AND(#REF!,"AAAAAHX8+x8=")</f>
        <v>#REF!</v>
      </c>
      <c r="AG42" t="e">
        <f>AND(#REF!,"AAAAAHX8+yA=")</f>
        <v>#REF!</v>
      </c>
      <c r="AH42" t="e">
        <f>AND(#REF!,"AAAAAHX8+yE=")</f>
        <v>#REF!</v>
      </c>
      <c r="AI42" t="e">
        <f>AND(#REF!,"AAAAAHX8+yI=")</f>
        <v>#REF!</v>
      </c>
      <c r="AJ42" t="e">
        <f>AND(#REF!,"AAAAAHX8+yM=")</f>
        <v>#REF!</v>
      </c>
      <c r="AK42" t="e">
        <f>AND(#REF!,"AAAAAHX8+yQ=")</f>
        <v>#REF!</v>
      </c>
      <c r="AL42" t="e">
        <f>AND(#REF!,"AAAAAHX8+yU=")</f>
        <v>#REF!</v>
      </c>
      <c r="AM42" t="e">
        <f>AND(#REF!,"AAAAAHX8+yY=")</f>
        <v>#REF!</v>
      </c>
      <c r="AN42" t="e">
        <f>AND(#REF!,"AAAAAHX8+yc=")</f>
        <v>#REF!</v>
      </c>
      <c r="AO42" t="e">
        <f>AND(#REF!,"AAAAAHX8+yg=")</f>
        <v>#REF!</v>
      </c>
      <c r="AP42" t="e">
        <f>AND(#REF!,"AAAAAHX8+yk=")</f>
        <v>#REF!</v>
      </c>
      <c r="AQ42" t="e">
        <f>AND(#REF!,"AAAAAHX8+yo=")</f>
        <v>#REF!</v>
      </c>
      <c r="AR42" t="e">
        <f>AND(#REF!,"AAAAAHX8+ys=")</f>
        <v>#REF!</v>
      </c>
      <c r="AS42" t="e">
        <f>AND(#REF!,"AAAAAHX8+yw=")</f>
        <v>#REF!</v>
      </c>
      <c r="AT42" t="e">
        <f>AND(#REF!,"AAAAAHX8+y0=")</f>
        <v>#REF!</v>
      </c>
      <c r="AU42" t="e">
        <f>AND(#REF!,"AAAAAHX8+y4=")</f>
        <v>#REF!</v>
      </c>
      <c r="AV42" t="e">
        <f>AND(#REF!,"AAAAAHX8+y8=")</f>
        <v>#REF!</v>
      </c>
      <c r="AW42" t="e">
        <f>AND(#REF!,"AAAAAHX8+zA=")</f>
        <v>#REF!</v>
      </c>
      <c r="AX42" t="e">
        <f>AND(#REF!,"AAAAAHX8+zE=")</f>
        <v>#REF!</v>
      </c>
      <c r="AY42" t="e">
        <f>AND(#REF!,"AAAAAHX8+zI=")</f>
        <v>#REF!</v>
      </c>
      <c r="AZ42" t="e">
        <f>AND(#REF!,"AAAAAHX8+zM=")</f>
        <v>#REF!</v>
      </c>
      <c r="BA42" t="e">
        <f>AND(#REF!,"AAAAAHX8+zQ=")</f>
        <v>#REF!</v>
      </c>
      <c r="BB42" t="e">
        <f>AND(#REF!,"AAAAAHX8+zU=")</f>
        <v>#REF!</v>
      </c>
      <c r="BC42" t="e">
        <f>AND(#REF!,"AAAAAHX8+zY=")</f>
        <v>#REF!</v>
      </c>
      <c r="BD42" t="e">
        <f>AND(#REF!,"AAAAAHX8+zc=")</f>
        <v>#REF!</v>
      </c>
      <c r="BE42" t="e">
        <f>AND(#REF!,"AAAAAHX8+zg=")</f>
        <v>#REF!</v>
      </c>
      <c r="BF42" t="e">
        <f>AND(#REF!,"AAAAAHX8+zk=")</f>
        <v>#REF!</v>
      </c>
      <c r="BG42" t="e">
        <f>AND(#REF!,"AAAAAHX8+zo=")</f>
        <v>#REF!</v>
      </c>
      <c r="BH42" t="e">
        <f>AND(#REF!,"AAAAAHX8+zs=")</f>
        <v>#REF!</v>
      </c>
      <c r="BI42" t="e">
        <f>AND(#REF!,"AAAAAHX8+zw=")</f>
        <v>#REF!</v>
      </c>
      <c r="BJ42" t="e">
        <f>AND(#REF!,"AAAAAHX8+z0=")</f>
        <v>#REF!</v>
      </c>
      <c r="BK42" t="e">
        <f>AND(#REF!,"AAAAAHX8+z4=")</f>
        <v>#REF!</v>
      </c>
      <c r="BL42" t="e">
        <f>AND(#REF!,"AAAAAHX8+z8=")</f>
        <v>#REF!</v>
      </c>
      <c r="BM42" t="e">
        <f>AND(#REF!,"AAAAAHX8+0A=")</f>
        <v>#REF!</v>
      </c>
      <c r="BN42" t="e">
        <f>AND(#REF!,"AAAAAHX8+0E=")</f>
        <v>#REF!</v>
      </c>
      <c r="BO42" t="e">
        <f>AND(#REF!,"AAAAAHX8+0I=")</f>
        <v>#REF!</v>
      </c>
      <c r="BP42" t="e">
        <f>AND(#REF!,"AAAAAHX8+0M=")</f>
        <v>#REF!</v>
      </c>
      <c r="BQ42" t="e">
        <f>AND(#REF!,"AAAAAHX8+0Q=")</f>
        <v>#REF!</v>
      </c>
      <c r="BR42" t="e">
        <f>AND(#REF!,"AAAAAHX8+0U=")</f>
        <v>#REF!</v>
      </c>
      <c r="BS42" t="e">
        <f>AND(#REF!,"AAAAAHX8+0Y=")</f>
        <v>#REF!</v>
      </c>
      <c r="BT42" t="e">
        <f>AND(#REF!,"AAAAAHX8+0c=")</f>
        <v>#REF!</v>
      </c>
      <c r="BU42" t="e">
        <f>AND(#REF!,"AAAAAHX8+0g=")</f>
        <v>#REF!</v>
      </c>
      <c r="BV42" t="e">
        <f>AND(#REF!,"AAAAAHX8+0k=")</f>
        <v>#REF!</v>
      </c>
      <c r="BW42" t="e">
        <f>AND(#REF!,"AAAAAHX8+0o=")</f>
        <v>#REF!</v>
      </c>
      <c r="BX42" t="e">
        <f>AND(#REF!,"AAAAAHX8+0s=")</f>
        <v>#REF!</v>
      </c>
      <c r="BY42" t="e">
        <f>AND(#REF!,"AAAAAHX8+0w=")</f>
        <v>#REF!</v>
      </c>
      <c r="BZ42" t="e">
        <f>AND(#REF!,"AAAAAHX8+00=")</f>
        <v>#REF!</v>
      </c>
      <c r="CA42" t="e">
        <f>AND(#REF!,"AAAAAHX8+04=")</f>
        <v>#REF!</v>
      </c>
      <c r="CB42" t="e">
        <f>AND(#REF!,"AAAAAHX8+08=")</f>
        <v>#REF!</v>
      </c>
      <c r="CC42" t="e">
        <f>AND(#REF!,"AAAAAHX8+1A=")</f>
        <v>#REF!</v>
      </c>
      <c r="CD42" t="e">
        <f>AND(#REF!,"AAAAAHX8+1E=")</f>
        <v>#REF!</v>
      </c>
      <c r="CE42" t="e">
        <f>AND(#REF!,"AAAAAHX8+1I=")</f>
        <v>#REF!</v>
      </c>
      <c r="CF42" t="e">
        <f>AND(#REF!,"AAAAAHX8+1M=")</f>
        <v>#REF!</v>
      </c>
      <c r="CG42" t="e">
        <f>AND(#REF!,"AAAAAHX8+1Q=")</f>
        <v>#REF!</v>
      </c>
      <c r="CH42" t="e">
        <f>AND(#REF!,"AAAAAHX8+1U=")</f>
        <v>#REF!</v>
      </c>
      <c r="CI42" t="e">
        <f>IF(#REF!,"AAAAAHX8+1Y=",0)</f>
        <v>#REF!</v>
      </c>
      <c r="CJ42" t="e">
        <f>AND(#REF!,"AAAAAHX8+1c=")</f>
        <v>#REF!</v>
      </c>
      <c r="CK42" t="e">
        <f>AND(#REF!,"AAAAAHX8+1g=")</f>
        <v>#REF!</v>
      </c>
      <c r="CL42" t="e">
        <f>AND(#REF!,"AAAAAHX8+1k=")</f>
        <v>#REF!</v>
      </c>
      <c r="CM42" t="e">
        <f>AND(#REF!,"AAAAAHX8+1o=")</f>
        <v>#REF!</v>
      </c>
      <c r="CN42" t="e">
        <f>AND(#REF!,"AAAAAHX8+1s=")</f>
        <v>#REF!</v>
      </c>
      <c r="CO42" t="e">
        <f>AND(#REF!,"AAAAAHX8+1w=")</f>
        <v>#REF!</v>
      </c>
      <c r="CP42" t="e">
        <f>AND(#REF!,"AAAAAHX8+10=")</f>
        <v>#REF!</v>
      </c>
      <c r="CQ42" t="e">
        <f>AND(#REF!,"AAAAAHX8+14=")</f>
        <v>#REF!</v>
      </c>
      <c r="CR42" t="e">
        <f>AND(#REF!,"AAAAAHX8+18=")</f>
        <v>#REF!</v>
      </c>
      <c r="CS42" t="e">
        <f>AND(#REF!,"AAAAAHX8+2A=")</f>
        <v>#REF!</v>
      </c>
      <c r="CT42" t="e">
        <f>AND(#REF!,"AAAAAHX8+2E=")</f>
        <v>#REF!</v>
      </c>
      <c r="CU42" t="e">
        <f>AND(#REF!,"AAAAAHX8+2I=")</f>
        <v>#REF!</v>
      </c>
      <c r="CV42" t="e">
        <f>AND(#REF!,"AAAAAHX8+2M=")</f>
        <v>#REF!</v>
      </c>
      <c r="CW42" t="e">
        <f>AND(#REF!,"AAAAAHX8+2Q=")</f>
        <v>#REF!</v>
      </c>
      <c r="CX42" t="e">
        <f>AND(#REF!,"AAAAAHX8+2U=")</f>
        <v>#REF!</v>
      </c>
      <c r="CY42" t="e">
        <f>AND(#REF!,"AAAAAHX8+2Y=")</f>
        <v>#REF!</v>
      </c>
      <c r="CZ42" t="e">
        <f>AND(#REF!,"AAAAAHX8+2c=")</f>
        <v>#REF!</v>
      </c>
      <c r="DA42" t="e">
        <f>AND(#REF!,"AAAAAHX8+2g=")</f>
        <v>#REF!</v>
      </c>
      <c r="DB42" t="e">
        <f>AND(#REF!,"AAAAAHX8+2k=")</f>
        <v>#REF!</v>
      </c>
      <c r="DC42" t="e">
        <f>AND(#REF!,"AAAAAHX8+2o=")</f>
        <v>#REF!</v>
      </c>
      <c r="DD42" t="e">
        <f>AND(#REF!,"AAAAAHX8+2s=")</f>
        <v>#REF!</v>
      </c>
      <c r="DE42" t="e">
        <f>AND(#REF!,"AAAAAHX8+2w=")</f>
        <v>#REF!</v>
      </c>
      <c r="DF42" t="e">
        <f>AND(#REF!,"AAAAAHX8+20=")</f>
        <v>#REF!</v>
      </c>
      <c r="DG42" t="e">
        <f>AND(#REF!,"AAAAAHX8+24=")</f>
        <v>#REF!</v>
      </c>
      <c r="DH42" t="e">
        <f>AND(#REF!,"AAAAAHX8+28=")</f>
        <v>#REF!</v>
      </c>
      <c r="DI42" t="e">
        <f>AND(#REF!,"AAAAAHX8+3A=")</f>
        <v>#REF!</v>
      </c>
      <c r="DJ42" t="e">
        <f>AND(#REF!,"AAAAAHX8+3E=")</f>
        <v>#REF!</v>
      </c>
      <c r="DK42" t="e">
        <f>AND(#REF!,"AAAAAHX8+3I=")</f>
        <v>#REF!</v>
      </c>
      <c r="DL42" t="e">
        <f>AND(#REF!,"AAAAAHX8+3M=")</f>
        <v>#REF!</v>
      </c>
      <c r="DM42" t="e">
        <f>AND(#REF!,"AAAAAHX8+3Q=")</f>
        <v>#REF!</v>
      </c>
      <c r="DN42" t="e">
        <f>AND(#REF!,"AAAAAHX8+3U=")</f>
        <v>#REF!</v>
      </c>
      <c r="DO42" t="e">
        <f>AND(#REF!,"AAAAAHX8+3Y=")</f>
        <v>#REF!</v>
      </c>
      <c r="DP42" t="e">
        <f>AND(#REF!,"AAAAAHX8+3c=")</f>
        <v>#REF!</v>
      </c>
      <c r="DQ42" t="e">
        <f>AND(#REF!,"AAAAAHX8+3g=")</f>
        <v>#REF!</v>
      </c>
      <c r="DR42" t="e">
        <f>AND(#REF!,"AAAAAHX8+3k=")</f>
        <v>#REF!</v>
      </c>
      <c r="DS42" t="e">
        <f>AND(#REF!,"AAAAAHX8+3o=")</f>
        <v>#REF!</v>
      </c>
      <c r="DT42" t="e">
        <f>AND(#REF!,"AAAAAHX8+3s=")</f>
        <v>#REF!</v>
      </c>
      <c r="DU42" t="e">
        <f>AND(#REF!,"AAAAAHX8+3w=")</f>
        <v>#REF!</v>
      </c>
      <c r="DV42" t="e">
        <f>AND(#REF!,"AAAAAHX8+30=")</f>
        <v>#REF!</v>
      </c>
      <c r="DW42" t="e">
        <f>AND(#REF!,"AAAAAHX8+34=")</f>
        <v>#REF!</v>
      </c>
      <c r="DX42" t="e">
        <f>AND(#REF!,"AAAAAHX8+38=")</f>
        <v>#REF!</v>
      </c>
      <c r="DY42" t="e">
        <f>AND(#REF!,"AAAAAHX8+4A=")</f>
        <v>#REF!</v>
      </c>
      <c r="DZ42" t="e">
        <f>AND(#REF!,"AAAAAHX8+4E=")</f>
        <v>#REF!</v>
      </c>
      <c r="EA42" t="e">
        <f>AND(#REF!,"AAAAAHX8+4I=")</f>
        <v>#REF!</v>
      </c>
      <c r="EB42" t="e">
        <f>AND(#REF!,"AAAAAHX8+4M=")</f>
        <v>#REF!</v>
      </c>
      <c r="EC42" t="e">
        <f>AND(#REF!,"AAAAAHX8+4Q=")</f>
        <v>#REF!</v>
      </c>
      <c r="ED42" t="e">
        <f>AND(#REF!,"AAAAAHX8+4U=")</f>
        <v>#REF!</v>
      </c>
      <c r="EE42" t="e">
        <f>AND(#REF!,"AAAAAHX8+4Y=")</f>
        <v>#REF!</v>
      </c>
      <c r="EF42" t="e">
        <f>AND(#REF!,"AAAAAHX8+4c=")</f>
        <v>#REF!</v>
      </c>
      <c r="EG42" t="e">
        <f>AND(#REF!,"AAAAAHX8+4g=")</f>
        <v>#REF!</v>
      </c>
      <c r="EH42" t="e">
        <f>AND(#REF!,"AAAAAHX8+4k=")</f>
        <v>#REF!</v>
      </c>
      <c r="EI42" t="e">
        <f>AND(#REF!,"AAAAAHX8+4o=")</f>
        <v>#REF!</v>
      </c>
      <c r="EJ42" t="e">
        <f>AND(#REF!,"AAAAAHX8+4s=")</f>
        <v>#REF!</v>
      </c>
      <c r="EK42" t="e">
        <f>AND(#REF!,"AAAAAHX8+4w=")</f>
        <v>#REF!</v>
      </c>
      <c r="EL42" t="e">
        <f>AND(#REF!,"AAAAAHX8+40=")</f>
        <v>#REF!</v>
      </c>
      <c r="EM42" t="e">
        <f>AND(#REF!,"AAAAAHX8+44=")</f>
        <v>#REF!</v>
      </c>
      <c r="EN42" t="e">
        <f>AND(#REF!,"AAAAAHX8+48=")</f>
        <v>#REF!</v>
      </c>
      <c r="EO42" t="e">
        <f>AND(#REF!,"AAAAAHX8+5A=")</f>
        <v>#REF!</v>
      </c>
      <c r="EP42" t="e">
        <f>AND(#REF!,"AAAAAHX8+5E=")</f>
        <v>#REF!</v>
      </c>
      <c r="EQ42" t="e">
        <f>AND(#REF!,"AAAAAHX8+5I=")</f>
        <v>#REF!</v>
      </c>
      <c r="ER42" t="e">
        <f>AND(#REF!,"AAAAAHX8+5M=")</f>
        <v>#REF!</v>
      </c>
      <c r="ES42" t="e">
        <f>AND(#REF!,"AAAAAHX8+5Q=")</f>
        <v>#REF!</v>
      </c>
      <c r="ET42" t="e">
        <f>AND(#REF!,"AAAAAHX8+5U=")</f>
        <v>#REF!</v>
      </c>
      <c r="EU42" t="e">
        <f>AND(#REF!,"AAAAAHX8+5Y=")</f>
        <v>#REF!</v>
      </c>
      <c r="EV42" t="e">
        <f>AND(#REF!,"AAAAAHX8+5c=")</f>
        <v>#REF!</v>
      </c>
      <c r="EW42" t="e">
        <f>AND(#REF!,"AAAAAHX8+5g=")</f>
        <v>#REF!</v>
      </c>
      <c r="EX42" t="e">
        <f>AND(#REF!,"AAAAAHX8+5k=")</f>
        <v>#REF!</v>
      </c>
      <c r="EY42" t="e">
        <f>AND(#REF!,"AAAAAHX8+5o=")</f>
        <v>#REF!</v>
      </c>
      <c r="EZ42" t="e">
        <f>AND(#REF!,"AAAAAHX8+5s=")</f>
        <v>#REF!</v>
      </c>
      <c r="FA42" t="e">
        <f>AND(#REF!,"AAAAAHX8+5w=")</f>
        <v>#REF!</v>
      </c>
      <c r="FB42" t="e">
        <f>AND(#REF!,"AAAAAHX8+50=")</f>
        <v>#REF!</v>
      </c>
      <c r="FC42" t="e">
        <f>AND(#REF!,"AAAAAHX8+54=")</f>
        <v>#REF!</v>
      </c>
      <c r="FD42" t="e">
        <f>AND(#REF!,"AAAAAHX8+58=")</f>
        <v>#REF!</v>
      </c>
      <c r="FE42" t="e">
        <f>AND(#REF!,"AAAAAHX8+6A=")</f>
        <v>#REF!</v>
      </c>
      <c r="FF42" t="e">
        <f>IF(#REF!,"AAAAAHX8+6E=",0)</f>
        <v>#REF!</v>
      </c>
      <c r="FG42" t="e">
        <f>AND(#REF!,"AAAAAHX8+6I=")</f>
        <v>#REF!</v>
      </c>
      <c r="FH42" t="e">
        <f>AND(#REF!,"AAAAAHX8+6M=")</f>
        <v>#REF!</v>
      </c>
      <c r="FI42" t="e">
        <f>AND(#REF!,"AAAAAHX8+6Q=")</f>
        <v>#REF!</v>
      </c>
      <c r="FJ42" t="e">
        <f>AND(#REF!,"AAAAAHX8+6U=")</f>
        <v>#REF!</v>
      </c>
      <c r="FK42" t="e">
        <f>AND(#REF!,"AAAAAHX8+6Y=")</f>
        <v>#REF!</v>
      </c>
      <c r="FL42" t="e">
        <f>AND(#REF!,"AAAAAHX8+6c=")</f>
        <v>#REF!</v>
      </c>
      <c r="FM42" t="e">
        <f>AND(#REF!,"AAAAAHX8+6g=")</f>
        <v>#REF!</v>
      </c>
      <c r="FN42" t="e">
        <f>AND(#REF!,"AAAAAHX8+6k=")</f>
        <v>#REF!</v>
      </c>
      <c r="FO42" t="e">
        <f>AND(#REF!,"AAAAAHX8+6o=")</f>
        <v>#REF!</v>
      </c>
      <c r="FP42" t="e">
        <f>AND(#REF!,"AAAAAHX8+6s=")</f>
        <v>#REF!</v>
      </c>
      <c r="FQ42" t="e">
        <f>AND(#REF!,"AAAAAHX8+6w=")</f>
        <v>#REF!</v>
      </c>
      <c r="FR42" t="e">
        <f>AND(#REF!,"AAAAAHX8+60=")</f>
        <v>#REF!</v>
      </c>
      <c r="FS42" t="e">
        <f>AND(#REF!,"AAAAAHX8+64=")</f>
        <v>#REF!</v>
      </c>
      <c r="FT42" t="e">
        <f>AND(#REF!,"AAAAAHX8+68=")</f>
        <v>#REF!</v>
      </c>
      <c r="FU42" t="e">
        <f>AND(#REF!,"AAAAAHX8+7A=")</f>
        <v>#REF!</v>
      </c>
      <c r="FV42" t="e">
        <f>AND(#REF!,"AAAAAHX8+7E=")</f>
        <v>#REF!</v>
      </c>
      <c r="FW42" t="e">
        <f>AND(#REF!,"AAAAAHX8+7I=")</f>
        <v>#REF!</v>
      </c>
      <c r="FX42" t="e">
        <f>AND(#REF!,"AAAAAHX8+7M=")</f>
        <v>#REF!</v>
      </c>
      <c r="FY42" t="e">
        <f>AND(#REF!,"AAAAAHX8+7Q=")</f>
        <v>#REF!</v>
      </c>
      <c r="FZ42" t="e">
        <f>AND(#REF!,"AAAAAHX8+7U=")</f>
        <v>#REF!</v>
      </c>
      <c r="GA42" t="e">
        <f>AND(#REF!,"AAAAAHX8+7Y=")</f>
        <v>#REF!</v>
      </c>
      <c r="GB42" t="e">
        <f>AND(#REF!,"AAAAAHX8+7c=")</f>
        <v>#REF!</v>
      </c>
      <c r="GC42" t="e">
        <f>AND(#REF!,"AAAAAHX8+7g=")</f>
        <v>#REF!</v>
      </c>
      <c r="GD42" t="e">
        <f>AND(#REF!,"AAAAAHX8+7k=")</f>
        <v>#REF!</v>
      </c>
      <c r="GE42" t="e">
        <f>AND(#REF!,"AAAAAHX8+7o=")</f>
        <v>#REF!</v>
      </c>
      <c r="GF42" t="e">
        <f>AND(#REF!,"AAAAAHX8+7s=")</f>
        <v>#REF!</v>
      </c>
      <c r="GG42" t="e">
        <f>AND(#REF!,"AAAAAHX8+7w=")</f>
        <v>#REF!</v>
      </c>
      <c r="GH42" t="e">
        <f>AND(#REF!,"AAAAAHX8+70=")</f>
        <v>#REF!</v>
      </c>
      <c r="GI42" t="e">
        <f>AND(#REF!,"AAAAAHX8+74=")</f>
        <v>#REF!</v>
      </c>
      <c r="GJ42" t="e">
        <f>AND(#REF!,"AAAAAHX8+78=")</f>
        <v>#REF!</v>
      </c>
      <c r="GK42" t="e">
        <f>AND(#REF!,"AAAAAHX8+8A=")</f>
        <v>#REF!</v>
      </c>
      <c r="GL42" t="e">
        <f>AND(#REF!,"AAAAAHX8+8E=")</f>
        <v>#REF!</v>
      </c>
      <c r="GM42" t="e">
        <f>AND(#REF!,"AAAAAHX8+8I=")</f>
        <v>#REF!</v>
      </c>
      <c r="GN42" t="e">
        <f>AND(#REF!,"AAAAAHX8+8M=")</f>
        <v>#REF!</v>
      </c>
      <c r="GO42" t="e">
        <f>AND(#REF!,"AAAAAHX8+8Q=")</f>
        <v>#REF!</v>
      </c>
      <c r="GP42" t="e">
        <f>AND(#REF!,"AAAAAHX8+8U=")</f>
        <v>#REF!</v>
      </c>
      <c r="GQ42" t="e">
        <f>AND(#REF!,"AAAAAHX8+8Y=")</f>
        <v>#REF!</v>
      </c>
      <c r="GR42" t="e">
        <f>AND(#REF!,"AAAAAHX8+8c=")</f>
        <v>#REF!</v>
      </c>
      <c r="GS42" t="e">
        <f>AND(#REF!,"AAAAAHX8+8g=")</f>
        <v>#REF!</v>
      </c>
      <c r="GT42" t="e">
        <f>AND(#REF!,"AAAAAHX8+8k=")</f>
        <v>#REF!</v>
      </c>
      <c r="GU42" t="e">
        <f>AND(#REF!,"AAAAAHX8+8o=")</f>
        <v>#REF!</v>
      </c>
      <c r="GV42" t="e">
        <f>AND(#REF!,"AAAAAHX8+8s=")</f>
        <v>#REF!</v>
      </c>
      <c r="GW42" t="e">
        <f>AND(#REF!,"AAAAAHX8+8w=")</f>
        <v>#REF!</v>
      </c>
      <c r="GX42" t="e">
        <f>AND(#REF!,"AAAAAHX8+80=")</f>
        <v>#REF!</v>
      </c>
      <c r="GY42" t="e">
        <f>AND(#REF!,"AAAAAHX8+84=")</f>
        <v>#REF!</v>
      </c>
      <c r="GZ42" t="e">
        <f>AND(#REF!,"AAAAAHX8+88=")</f>
        <v>#REF!</v>
      </c>
      <c r="HA42" t="e">
        <f>AND(#REF!,"AAAAAHX8+9A=")</f>
        <v>#REF!</v>
      </c>
      <c r="HB42" t="e">
        <f>AND(#REF!,"AAAAAHX8+9E=")</f>
        <v>#REF!</v>
      </c>
      <c r="HC42" t="e">
        <f>AND(#REF!,"AAAAAHX8+9I=")</f>
        <v>#REF!</v>
      </c>
      <c r="HD42" t="e">
        <f>AND(#REF!,"AAAAAHX8+9M=")</f>
        <v>#REF!</v>
      </c>
      <c r="HE42" t="e">
        <f>AND(#REF!,"AAAAAHX8+9Q=")</f>
        <v>#REF!</v>
      </c>
      <c r="HF42" t="e">
        <f>AND(#REF!,"AAAAAHX8+9U=")</f>
        <v>#REF!</v>
      </c>
      <c r="HG42" t="e">
        <f>AND(#REF!,"AAAAAHX8+9Y=")</f>
        <v>#REF!</v>
      </c>
      <c r="HH42" t="e">
        <f>AND(#REF!,"AAAAAHX8+9c=")</f>
        <v>#REF!</v>
      </c>
      <c r="HI42" t="e">
        <f>AND(#REF!,"AAAAAHX8+9g=")</f>
        <v>#REF!</v>
      </c>
      <c r="HJ42" t="e">
        <f>AND(#REF!,"AAAAAHX8+9k=")</f>
        <v>#REF!</v>
      </c>
      <c r="HK42" t="e">
        <f>AND(#REF!,"AAAAAHX8+9o=")</f>
        <v>#REF!</v>
      </c>
      <c r="HL42" t="e">
        <f>AND(#REF!,"AAAAAHX8+9s=")</f>
        <v>#REF!</v>
      </c>
      <c r="HM42" t="e">
        <f>AND(#REF!,"AAAAAHX8+9w=")</f>
        <v>#REF!</v>
      </c>
      <c r="HN42" t="e">
        <f>AND(#REF!,"AAAAAHX8+90=")</f>
        <v>#REF!</v>
      </c>
      <c r="HO42" t="e">
        <f>AND(#REF!,"AAAAAHX8+94=")</f>
        <v>#REF!</v>
      </c>
      <c r="HP42" t="e">
        <f>AND(#REF!,"AAAAAHX8+98=")</f>
        <v>#REF!</v>
      </c>
      <c r="HQ42" t="e">
        <f>AND(#REF!,"AAAAAHX8++A=")</f>
        <v>#REF!</v>
      </c>
      <c r="HR42" t="e">
        <f>AND(#REF!,"AAAAAHX8++E=")</f>
        <v>#REF!</v>
      </c>
      <c r="HS42" t="e">
        <f>AND(#REF!,"AAAAAHX8++I=")</f>
        <v>#REF!</v>
      </c>
      <c r="HT42" t="e">
        <f>AND(#REF!,"AAAAAHX8++M=")</f>
        <v>#REF!</v>
      </c>
      <c r="HU42" t="e">
        <f>AND(#REF!,"AAAAAHX8++Q=")</f>
        <v>#REF!</v>
      </c>
      <c r="HV42" t="e">
        <f>AND(#REF!,"AAAAAHX8++U=")</f>
        <v>#REF!</v>
      </c>
      <c r="HW42" t="e">
        <f>AND(#REF!,"AAAAAHX8++Y=")</f>
        <v>#REF!</v>
      </c>
      <c r="HX42" t="e">
        <f>AND(#REF!,"AAAAAHX8++c=")</f>
        <v>#REF!</v>
      </c>
      <c r="HY42" t="e">
        <f>AND(#REF!,"AAAAAHX8++g=")</f>
        <v>#REF!</v>
      </c>
      <c r="HZ42" t="e">
        <f>AND(#REF!,"AAAAAHX8++k=")</f>
        <v>#REF!</v>
      </c>
      <c r="IA42" t="e">
        <f>AND(#REF!,"AAAAAHX8++o=")</f>
        <v>#REF!</v>
      </c>
      <c r="IB42" t="e">
        <f>AND(#REF!,"AAAAAHX8++s=")</f>
        <v>#REF!</v>
      </c>
      <c r="IC42" t="e">
        <f>IF(#REF!,"AAAAAHX8++w=",0)</f>
        <v>#REF!</v>
      </c>
      <c r="ID42" t="e">
        <f>AND(#REF!,"AAAAAHX8++0=")</f>
        <v>#REF!</v>
      </c>
      <c r="IE42" t="e">
        <f>AND(#REF!,"AAAAAHX8++4=")</f>
        <v>#REF!</v>
      </c>
      <c r="IF42" t="e">
        <f>AND(#REF!,"AAAAAHX8++8=")</f>
        <v>#REF!</v>
      </c>
      <c r="IG42" t="e">
        <f>AND(#REF!,"AAAAAHX8+/A=")</f>
        <v>#REF!</v>
      </c>
      <c r="IH42" t="e">
        <f>AND(#REF!,"AAAAAHX8+/E=")</f>
        <v>#REF!</v>
      </c>
      <c r="II42" t="e">
        <f>AND(#REF!,"AAAAAHX8+/I=")</f>
        <v>#REF!</v>
      </c>
      <c r="IJ42" t="e">
        <f>AND(#REF!,"AAAAAHX8+/M=")</f>
        <v>#REF!</v>
      </c>
      <c r="IK42" t="e">
        <f>AND(#REF!,"AAAAAHX8+/Q=")</f>
        <v>#REF!</v>
      </c>
      <c r="IL42" t="e">
        <f>AND(#REF!,"AAAAAHX8+/U=")</f>
        <v>#REF!</v>
      </c>
      <c r="IM42" t="e">
        <f>AND(#REF!,"AAAAAHX8+/Y=")</f>
        <v>#REF!</v>
      </c>
      <c r="IN42" t="e">
        <f>AND(#REF!,"AAAAAHX8+/c=")</f>
        <v>#REF!</v>
      </c>
      <c r="IO42" t="e">
        <f>AND(#REF!,"AAAAAHX8+/g=")</f>
        <v>#REF!</v>
      </c>
      <c r="IP42" t="e">
        <f>AND(#REF!,"AAAAAHX8+/k=")</f>
        <v>#REF!</v>
      </c>
      <c r="IQ42" t="e">
        <f>AND(#REF!,"AAAAAHX8+/o=")</f>
        <v>#REF!</v>
      </c>
      <c r="IR42" t="e">
        <f>AND(#REF!,"AAAAAHX8+/s=")</f>
        <v>#REF!</v>
      </c>
      <c r="IS42" t="e">
        <f>AND(#REF!,"AAAAAHX8+/w=")</f>
        <v>#REF!</v>
      </c>
      <c r="IT42" t="e">
        <f>AND(#REF!,"AAAAAHX8+/0=")</f>
        <v>#REF!</v>
      </c>
      <c r="IU42" t="e">
        <f>AND(#REF!,"AAAAAHX8+/4=")</f>
        <v>#REF!</v>
      </c>
      <c r="IV42" t="e">
        <f>AND(#REF!,"AAAAAHX8+/8=")</f>
        <v>#REF!</v>
      </c>
    </row>
    <row r="43" spans="1:256" x14ac:dyDescent="0.2">
      <c r="A43" t="e">
        <f>AND(#REF!,"AAAAAH+dfgA=")</f>
        <v>#REF!</v>
      </c>
      <c r="B43" t="e">
        <f>AND(#REF!,"AAAAAH+dfgE=")</f>
        <v>#REF!</v>
      </c>
      <c r="C43" t="e">
        <f>AND(#REF!,"AAAAAH+dfgI=")</f>
        <v>#REF!</v>
      </c>
      <c r="D43" t="e">
        <f>AND(#REF!,"AAAAAH+dfgM=")</f>
        <v>#REF!</v>
      </c>
      <c r="E43" t="e">
        <f>AND(#REF!,"AAAAAH+dfgQ=")</f>
        <v>#REF!</v>
      </c>
      <c r="F43" t="e">
        <f>AND(#REF!,"AAAAAH+dfgU=")</f>
        <v>#REF!</v>
      </c>
      <c r="G43" t="e">
        <f>AND(#REF!,"AAAAAH+dfgY=")</f>
        <v>#REF!</v>
      </c>
      <c r="H43" t="e">
        <f>AND(#REF!,"AAAAAH+dfgc=")</f>
        <v>#REF!</v>
      </c>
      <c r="I43" t="e">
        <f>AND(#REF!,"AAAAAH+dfgg=")</f>
        <v>#REF!</v>
      </c>
      <c r="J43" t="e">
        <f>AND(#REF!,"AAAAAH+dfgk=")</f>
        <v>#REF!</v>
      </c>
      <c r="K43" t="e">
        <f>AND(#REF!,"AAAAAH+dfgo=")</f>
        <v>#REF!</v>
      </c>
      <c r="L43" t="e">
        <f>AND(#REF!,"AAAAAH+dfgs=")</f>
        <v>#REF!</v>
      </c>
      <c r="M43" t="e">
        <f>AND(#REF!,"AAAAAH+dfgw=")</f>
        <v>#REF!</v>
      </c>
      <c r="N43" t="e">
        <f>AND(#REF!,"AAAAAH+dfg0=")</f>
        <v>#REF!</v>
      </c>
      <c r="O43" t="e">
        <f>AND(#REF!,"AAAAAH+dfg4=")</f>
        <v>#REF!</v>
      </c>
      <c r="P43" t="e">
        <f>AND(#REF!,"AAAAAH+dfg8=")</f>
        <v>#REF!</v>
      </c>
      <c r="Q43" t="e">
        <f>AND(#REF!,"AAAAAH+dfhA=")</f>
        <v>#REF!</v>
      </c>
      <c r="R43" t="e">
        <f>AND(#REF!,"AAAAAH+dfhE=")</f>
        <v>#REF!</v>
      </c>
      <c r="S43" t="e">
        <f>AND(#REF!,"AAAAAH+dfhI=")</f>
        <v>#REF!</v>
      </c>
      <c r="T43" t="e">
        <f>AND(#REF!,"AAAAAH+dfhM=")</f>
        <v>#REF!</v>
      </c>
      <c r="U43" t="e">
        <f>AND(#REF!,"AAAAAH+dfhQ=")</f>
        <v>#REF!</v>
      </c>
      <c r="V43" t="e">
        <f>AND(#REF!,"AAAAAH+dfhU=")</f>
        <v>#REF!</v>
      </c>
      <c r="W43" t="e">
        <f>AND(#REF!,"AAAAAH+dfhY=")</f>
        <v>#REF!</v>
      </c>
      <c r="X43" t="e">
        <f>AND(#REF!,"AAAAAH+dfhc=")</f>
        <v>#REF!</v>
      </c>
      <c r="Y43" t="e">
        <f>AND(#REF!,"AAAAAH+dfhg=")</f>
        <v>#REF!</v>
      </c>
      <c r="Z43" t="e">
        <f>AND(#REF!,"AAAAAH+dfhk=")</f>
        <v>#REF!</v>
      </c>
      <c r="AA43" t="e">
        <f>AND(#REF!,"AAAAAH+dfho=")</f>
        <v>#REF!</v>
      </c>
      <c r="AB43" t="e">
        <f>AND(#REF!,"AAAAAH+dfhs=")</f>
        <v>#REF!</v>
      </c>
      <c r="AC43" t="e">
        <f>AND(#REF!,"AAAAAH+dfhw=")</f>
        <v>#REF!</v>
      </c>
      <c r="AD43" t="e">
        <f>AND(#REF!,"AAAAAH+dfh0=")</f>
        <v>#REF!</v>
      </c>
      <c r="AE43" t="e">
        <f>AND(#REF!,"AAAAAH+dfh4=")</f>
        <v>#REF!</v>
      </c>
      <c r="AF43" t="e">
        <f>AND(#REF!,"AAAAAH+dfh8=")</f>
        <v>#REF!</v>
      </c>
      <c r="AG43" t="e">
        <f>AND(#REF!,"AAAAAH+dfiA=")</f>
        <v>#REF!</v>
      </c>
      <c r="AH43" t="e">
        <f>AND(#REF!,"AAAAAH+dfiE=")</f>
        <v>#REF!</v>
      </c>
      <c r="AI43" t="e">
        <f>AND(#REF!,"AAAAAH+dfiI=")</f>
        <v>#REF!</v>
      </c>
      <c r="AJ43" t="e">
        <f>AND(#REF!,"AAAAAH+dfiM=")</f>
        <v>#REF!</v>
      </c>
      <c r="AK43" t="e">
        <f>AND(#REF!,"AAAAAH+dfiQ=")</f>
        <v>#REF!</v>
      </c>
      <c r="AL43" t="e">
        <f>AND(#REF!,"AAAAAH+dfiU=")</f>
        <v>#REF!</v>
      </c>
      <c r="AM43" t="e">
        <f>AND(#REF!,"AAAAAH+dfiY=")</f>
        <v>#REF!</v>
      </c>
      <c r="AN43" t="e">
        <f>AND(#REF!,"AAAAAH+dfic=")</f>
        <v>#REF!</v>
      </c>
      <c r="AO43" t="e">
        <f>AND(#REF!,"AAAAAH+dfig=")</f>
        <v>#REF!</v>
      </c>
      <c r="AP43" t="e">
        <f>AND(#REF!,"AAAAAH+dfik=")</f>
        <v>#REF!</v>
      </c>
      <c r="AQ43" t="e">
        <f>AND(#REF!,"AAAAAH+dfio=")</f>
        <v>#REF!</v>
      </c>
      <c r="AR43" t="e">
        <f>AND(#REF!,"AAAAAH+dfis=")</f>
        <v>#REF!</v>
      </c>
      <c r="AS43" t="e">
        <f>AND(#REF!,"AAAAAH+dfiw=")</f>
        <v>#REF!</v>
      </c>
      <c r="AT43" t="e">
        <f>AND(#REF!,"AAAAAH+dfi0=")</f>
        <v>#REF!</v>
      </c>
      <c r="AU43" t="e">
        <f>AND(#REF!,"AAAAAH+dfi4=")</f>
        <v>#REF!</v>
      </c>
      <c r="AV43" t="e">
        <f>AND(#REF!,"AAAAAH+dfi8=")</f>
        <v>#REF!</v>
      </c>
      <c r="AW43" t="e">
        <f>AND(#REF!,"AAAAAH+dfjA=")</f>
        <v>#REF!</v>
      </c>
      <c r="AX43" t="e">
        <f>AND(#REF!,"AAAAAH+dfjE=")</f>
        <v>#REF!</v>
      </c>
      <c r="AY43" t="e">
        <f>AND(#REF!,"AAAAAH+dfjI=")</f>
        <v>#REF!</v>
      </c>
      <c r="AZ43" t="e">
        <f>AND(#REF!,"AAAAAH+dfjM=")</f>
        <v>#REF!</v>
      </c>
      <c r="BA43" t="e">
        <f>AND(#REF!,"AAAAAH+dfjQ=")</f>
        <v>#REF!</v>
      </c>
      <c r="BB43" t="e">
        <f>AND(#REF!,"AAAAAH+dfjU=")</f>
        <v>#REF!</v>
      </c>
      <c r="BC43" t="e">
        <f>AND(#REF!,"AAAAAH+dfjY=")</f>
        <v>#REF!</v>
      </c>
      <c r="BD43" t="e">
        <f>IF(#REF!,"AAAAAH+dfjc=",0)</f>
        <v>#REF!</v>
      </c>
      <c r="BE43" t="e">
        <f>AND(#REF!,"AAAAAH+dfjg=")</f>
        <v>#REF!</v>
      </c>
      <c r="BF43" t="e">
        <f>AND(#REF!,"AAAAAH+dfjk=")</f>
        <v>#REF!</v>
      </c>
      <c r="BG43" t="e">
        <f>AND(#REF!,"AAAAAH+dfjo=")</f>
        <v>#REF!</v>
      </c>
      <c r="BH43" t="e">
        <f>AND(#REF!,"AAAAAH+dfjs=")</f>
        <v>#REF!</v>
      </c>
      <c r="BI43" t="e">
        <f>AND(#REF!,"AAAAAH+dfjw=")</f>
        <v>#REF!</v>
      </c>
      <c r="BJ43" t="e">
        <f>AND(#REF!,"AAAAAH+dfj0=")</f>
        <v>#REF!</v>
      </c>
      <c r="BK43" t="e">
        <f>AND(#REF!,"AAAAAH+dfj4=")</f>
        <v>#REF!</v>
      </c>
      <c r="BL43" t="e">
        <f>AND(#REF!,"AAAAAH+dfj8=")</f>
        <v>#REF!</v>
      </c>
      <c r="BM43" t="e">
        <f>AND(#REF!,"AAAAAH+dfkA=")</f>
        <v>#REF!</v>
      </c>
      <c r="BN43" t="e">
        <f>AND(#REF!,"AAAAAH+dfkE=")</f>
        <v>#REF!</v>
      </c>
      <c r="BO43" t="e">
        <f>AND(#REF!,"AAAAAH+dfkI=")</f>
        <v>#REF!</v>
      </c>
      <c r="BP43" t="e">
        <f>AND(#REF!,"AAAAAH+dfkM=")</f>
        <v>#REF!</v>
      </c>
      <c r="BQ43" t="e">
        <f>AND(#REF!,"AAAAAH+dfkQ=")</f>
        <v>#REF!</v>
      </c>
      <c r="BR43" t="e">
        <f>AND(#REF!,"AAAAAH+dfkU=")</f>
        <v>#REF!</v>
      </c>
      <c r="BS43" t="e">
        <f>AND(#REF!,"AAAAAH+dfkY=")</f>
        <v>#REF!</v>
      </c>
      <c r="BT43" t="e">
        <f>AND(#REF!,"AAAAAH+dfkc=")</f>
        <v>#REF!</v>
      </c>
      <c r="BU43" t="e">
        <f>AND(#REF!,"AAAAAH+dfkg=")</f>
        <v>#REF!</v>
      </c>
      <c r="BV43" t="e">
        <f>AND(#REF!,"AAAAAH+dfkk=")</f>
        <v>#REF!</v>
      </c>
      <c r="BW43" t="e">
        <f>AND(#REF!,"AAAAAH+dfko=")</f>
        <v>#REF!</v>
      </c>
      <c r="BX43" t="e">
        <f>AND(#REF!,"AAAAAH+dfks=")</f>
        <v>#REF!</v>
      </c>
      <c r="BY43" t="e">
        <f>AND(#REF!,"AAAAAH+dfkw=")</f>
        <v>#REF!</v>
      </c>
      <c r="BZ43" t="e">
        <f>AND(#REF!,"AAAAAH+dfk0=")</f>
        <v>#REF!</v>
      </c>
      <c r="CA43" t="e">
        <f>AND(#REF!,"AAAAAH+dfk4=")</f>
        <v>#REF!</v>
      </c>
      <c r="CB43" t="e">
        <f>AND(#REF!,"AAAAAH+dfk8=")</f>
        <v>#REF!</v>
      </c>
      <c r="CC43" t="e">
        <f>AND(#REF!,"AAAAAH+dflA=")</f>
        <v>#REF!</v>
      </c>
      <c r="CD43" t="e">
        <f>AND(#REF!,"AAAAAH+dflE=")</f>
        <v>#REF!</v>
      </c>
      <c r="CE43" t="e">
        <f>AND(#REF!,"AAAAAH+dflI=")</f>
        <v>#REF!</v>
      </c>
      <c r="CF43" t="e">
        <f>AND(#REF!,"AAAAAH+dflM=")</f>
        <v>#REF!</v>
      </c>
      <c r="CG43" t="e">
        <f>AND(#REF!,"AAAAAH+dflQ=")</f>
        <v>#REF!</v>
      </c>
      <c r="CH43" t="e">
        <f>AND(#REF!,"AAAAAH+dflU=")</f>
        <v>#REF!</v>
      </c>
      <c r="CI43" t="e">
        <f>AND(#REF!,"AAAAAH+dflY=")</f>
        <v>#REF!</v>
      </c>
      <c r="CJ43" t="e">
        <f>AND(#REF!,"AAAAAH+dflc=")</f>
        <v>#REF!</v>
      </c>
      <c r="CK43" t="e">
        <f>AND(#REF!,"AAAAAH+dflg=")</f>
        <v>#REF!</v>
      </c>
      <c r="CL43" t="e">
        <f>AND(#REF!,"AAAAAH+dflk=")</f>
        <v>#REF!</v>
      </c>
      <c r="CM43" t="e">
        <f>AND(#REF!,"AAAAAH+dflo=")</f>
        <v>#REF!</v>
      </c>
      <c r="CN43" t="e">
        <f>AND(#REF!,"AAAAAH+dfls=")</f>
        <v>#REF!</v>
      </c>
      <c r="CO43" t="e">
        <f>AND(#REF!,"AAAAAH+dflw=")</f>
        <v>#REF!</v>
      </c>
      <c r="CP43" t="e">
        <f>AND(#REF!,"AAAAAH+dfl0=")</f>
        <v>#REF!</v>
      </c>
      <c r="CQ43" t="e">
        <f>AND(#REF!,"AAAAAH+dfl4=")</f>
        <v>#REF!</v>
      </c>
      <c r="CR43" t="e">
        <f>AND(#REF!,"AAAAAH+dfl8=")</f>
        <v>#REF!</v>
      </c>
      <c r="CS43" t="e">
        <f>AND(#REF!,"AAAAAH+dfmA=")</f>
        <v>#REF!</v>
      </c>
      <c r="CT43" t="e">
        <f>AND(#REF!,"AAAAAH+dfmE=")</f>
        <v>#REF!</v>
      </c>
      <c r="CU43" t="e">
        <f>AND(#REF!,"AAAAAH+dfmI=")</f>
        <v>#REF!</v>
      </c>
      <c r="CV43" t="e">
        <f>AND(#REF!,"AAAAAH+dfmM=")</f>
        <v>#REF!</v>
      </c>
      <c r="CW43" t="e">
        <f>AND(#REF!,"AAAAAH+dfmQ=")</f>
        <v>#REF!</v>
      </c>
      <c r="CX43" t="e">
        <f>AND(#REF!,"AAAAAH+dfmU=")</f>
        <v>#REF!</v>
      </c>
      <c r="CY43" t="e">
        <f>AND(#REF!,"AAAAAH+dfmY=")</f>
        <v>#REF!</v>
      </c>
      <c r="CZ43" t="e">
        <f>AND(#REF!,"AAAAAH+dfmc=")</f>
        <v>#REF!</v>
      </c>
      <c r="DA43" t="e">
        <f>AND(#REF!,"AAAAAH+dfmg=")</f>
        <v>#REF!</v>
      </c>
      <c r="DB43" t="e">
        <f>AND(#REF!,"AAAAAH+dfmk=")</f>
        <v>#REF!</v>
      </c>
      <c r="DC43" t="e">
        <f>AND(#REF!,"AAAAAH+dfmo=")</f>
        <v>#REF!</v>
      </c>
      <c r="DD43" t="e">
        <f>AND(#REF!,"AAAAAH+dfms=")</f>
        <v>#REF!</v>
      </c>
      <c r="DE43" t="e">
        <f>AND(#REF!,"AAAAAH+dfmw=")</f>
        <v>#REF!</v>
      </c>
      <c r="DF43" t="e">
        <f>AND(#REF!,"AAAAAH+dfm0=")</f>
        <v>#REF!</v>
      </c>
      <c r="DG43" t="e">
        <f>AND(#REF!,"AAAAAH+dfm4=")</f>
        <v>#REF!</v>
      </c>
      <c r="DH43" t="e">
        <f>AND(#REF!,"AAAAAH+dfm8=")</f>
        <v>#REF!</v>
      </c>
      <c r="DI43" t="e">
        <f>AND(#REF!,"AAAAAH+dfnA=")</f>
        <v>#REF!</v>
      </c>
      <c r="DJ43" t="e">
        <f>AND(#REF!,"AAAAAH+dfnE=")</f>
        <v>#REF!</v>
      </c>
      <c r="DK43" t="e">
        <f>AND(#REF!,"AAAAAH+dfnI=")</f>
        <v>#REF!</v>
      </c>
      <c r="DL43" t="e">
        <f>AND(#REF!,"AAAAAH+dfnM=")</f>
        <v>#REF!</v>
      </c>
      <c r="DM43" t="e">
        <f>AND(#REF!,"AAAAAH+dfnQ=")</f>
        <v>#REF!</v>
      </c>
      <c r="DN43" t="e">
        <f>AND(#REF!,"AAAAAH+dfnU=")</f>
        <v>#REF!</v>
      </c>
      <c r="DO43" t="e">
        <f>AND(#REF!,"AAAAAH+dfnY=")</f>
        <v>#REF!</v>
      </c>
      <c r="DP43" t="e">
        <f>AND(#REF!,"AAAAAH+dfnc=")</f>
        <v>#REF!</v>
      </c>
      <c r="DQ43" t="e">
        <f>AND(#REF!,"AAAAAH+dfng=")</f>
        <v>#REF!</v>
      </c>
      <c r="DR43" t="e">
        <f>AND(#REF!,"AAAAAH+dfnk=")</f>
        <v>#REF!</v>
      </c>
      <c r="DS43" t="e">
        <f>AND(#REF!,"AAAAAH+dfno=")</f>
        <v>#REF!</v>
      </c>
      <c r="DT43" t="e">
        <f>AND(#REF!,"AAAAAH+dfns=")</f>
        <v>#REF!</v>
      </c>
      <c r="DU43" t="e">
        <f>AND(#REF!,"AAAAAH+dfnw=")</f>
        <v>#REF!</v>
      </c>
      <c r="DV43" t="e">
        <f>AND(#REF!,"AAAAAH+dfn0=")</f>
        <v>#REF!</v>
      </c>
      <c r="DW43" t="e">
        <f>AND(#REF!,"AAAAAH+dfn4=")</f>
        <v>#REF!</v>
      </c>
      <c r="DX43" t="e">
        <f>AND(#REF!,"AAAAAH+dfn8=")</f>
        <v>#REF!</v>
      </c>
      <c r="DY43" t="e">
        <f>AND(#REF!,"AAAAAH+dfoA=")</f>
        <v>#REF!</v>
      </c>
      <c r="DZ43" t="e">
        <f>AND(#REF!,"AAAAAH+dfoE=")</f>
        <v>#REF!</v>
      </c>
      <c r="EA43" t="e">
        <f>IF(#REF!,"AAAAAH+dfoI=",0)</f>
        <v>#REF!</v>
      </c>
      <c r="EB43" t="e">
        <f>AND(#REF!,"AAAAAH+dfoM=")</f>
        <v>#REF!</v>
      </c>
      <c r="EC43" t="e">
        <f>AND(#REF!,"AAAAAH+dfoQ=")</f>
        <v>#REF!</v>
      </c>
      <c r="ED43" t="e">
        <f>AND(#REF!,"AAAAAH+dfoU=")</f>
        <v>#REF!</v>
      </c>
      <c r="EE43" t="e">
        <f>AND(#REF!,"AAAAAH+dfoY=")</f>
        <v>#REF!</v>
      </c>
      <c r="EF43" t="e">
        <f>AND(#REF!,"AAAAAH+dfoc=")</f>
        <v>#REF!</v>
      </c>
      <c r="EG43" t="e">
        <f>AND(#REF!,"AAAAAH+dfog=")</f>
        <v>#REF!</v>
      </c>
      <c r="EH43" t="e">
        <f>AND(#REF!,"AAAAAH+dfok=")</f>
        <v>#REF!</v>
      </c>
      <c r="EI43" t="e">
        <f>AND(#REF!,"AAAAAH+dfoo=")</f>
        <v>#REF!</v>
      </c>
      <c r="EJ43" t="e">
        <f>AND(#REF!,"AAAAAH+dfos=")</f>
        <v>#REF!</v>
      </c>
      <c r="EK43" t="e">
        <f>AND(#REF!,"AAAAAH+dfow=")</f>
        <v>#REF!</v>
      </c>
      <c r="EL43" t="e">
        <f>AND(#REF!,"AAAAAH+dfo0=")</f>
        <v>#REF!</v>
      </c>
      <c r="EM43" t="e">
        <f>AND(#REF!,"AAAAAH+dfo4=")</f>
        <v>#REF!</v>
      </c>
      <c r="EN43" t="e">
        <f>AND(#REF!,"AAAAAH+dfo8=")</f>
        <v>#REF!</v>
      </c>
      <c r="EO43" t="e">
        <f>AND(#REF!,"AAAAAH+dfpA=")</f>
        <v>#REF!</v>
      </c>
      <c r="EP43" t="e">
        <f>AND(#REF!,"AAAAAH+dfpE=")</f>
        <v>#REF!</v>
      </c>
      <c r="EQ43" t="e">
        <f>AND(#REF!,"AAAAAH+dfpI=")</f>
        <v>#REF!</v>
      </c>
      <c r="ER43" t="e">
        <f>AND(#REF!,"AAAAAH+dfpM=")</f>
        <v>#REF!</v>
      </c>
      <c r="ES43" t="e">
        <f>AND(#REF!,"AAAAAH+dfpQ=")</f>
        <v>#REF!</v>
      </c>
      <c r="ET43" t="e">
        <f>AND(#REF!,"AAAAAH+dfpU=")</f>
        <v>#REF!</v>
      </c>
      <c r="EU43" t="e">
        <f>AND(#REF!,"AAAAAH+dfpY=")</f>
        <v>#REF!</v>
      </c>
      <c r="EV43" t="e">
        <f>AND(#REF!,"AAAAAH+dfpc=")</f>
        <v>#REF!</v>
      </c>
      <c r="EW43" t="e">
        <f>AND(#REF!,"AAAAAH+dfpg=")</f>
        <v>#REF!</v>
      </c>
      <c r="EX43" t="e">
        <f>AND(#REF!,"AAAAAH+dfpk=")</f>
        <v>#REF!</v>
      </c>
      <c r="EY43" t="e">
        <f>AND(#REF!,"AAAAAH+dfpo=")</f>
        <v>#REF!</v>
      </c>
      <c r="EZ43" t="e">
        <f>AND(#REF!,"AAAAAH+dfps=")</f>
        <v>#REF!</v>
      </c>
      <c r="FA43" t="e">
        <f>AND(#REF!,"AAAAAH+dfpw=")</f>
        <v>#REF!</v>
      </c>
      <c r="FB43" t="e">
        <f>AND(#REF!,"AAAAAH+dfp0=")</f>
        <v>#REF!</v>
      </c>
      <c r="FC43" t="e">
        <f>AND(#REF!,"AAAAAH+dfp4=")</f>
        <v>#REF!</v>
      </c>
      <c r="FD43" t="e">
        <f>AND(#REF!,"AAAAAH+dfp8=")</f>
        <v>#REF!</v>
      </c>
      <c r="FE43" t="e">
        <f>AND(#REF!,"AAAAAH+dfqA=")</f>
        <v>#REF!</v>
      </c>
      <c r="FF43" t="e">
        <f>AND(#REF!,"AAAAAH+dfqE=")</f>
        <v>#REF!</v>
      </c>
      <c r="FG43" t="e">
        <f>AND(#REF!,"AAAAAH+dfqI=")</f>
        <v>#REF!</v>
      </c>
      <c r="FH43" t="e">
        <f>AND(#REF!,"AAAAAH+dfqM=")</f>
        <v>#REF!</v>
      </c>
      <c r="FI43" t="e">
        <f>AND(#REF!,"AAAAAH+dfqQ=")</f>
        <v>#REF!</v>
      </c>
      <c r="FJ43" t="e">
        <f>AND(#REF!,"AAAAAH+dfqU=")</f>
        <v>#REF!</v>
      </c>
      <c r="FK43" t="e">
        <f>AND(#REF!,"AAAAAH+dfqY=")</f>
        <v>#REF!</v>
      </c>
      <c r="FL43" t="e">
        <f>AND(#REF!,"AAAAAH+dfqc=")</f>
        <v>#REF!</v>
      </c>
      <c r="FM43" t="e">
        <f>AND(#REF!,"AAAAAH+dfqg=")</f>
        <v>#REF!</v>
      </c>
      <c r="FN43" t="e">
        <f>AND(#REF!,"AAAAAH+dfqk=")</f>
        <v>#REF!</v>
      </c>
      <c r="FO43" t="e">
        <f>AND(#REF!,"AAAAAH+dfqo=")</f>
        <v>#REF!</v>
      </c>
      <c r="FP43" t="e">
        <f>AND(#REF!,"AAAAAH+dfqs=")</f>
        <v>#REF!</v>
      </c>
      <c r="FQ43" t="e">
        <f>AND(#REF!,"AAAAAH+dfqw=")</f>
        <v>#REF!</v>
      </c>
      <c r="FR43" t="e">
        <f>AND(#REF!,"AAAAAH+dfq0=")</f>
        <v>#REF!</v>
      </c>
      <c r="FS43" t="e">
        <f>AND(#REF!,"AAAAAH+dfq4=")</f>
        <v>#REF!</v>
      </c>
      <c r="FT43" t="e">
        <f>AND(#REF!,"AAAAAH+dfq8=")</f>
        <v>#REF!</v>
      </c>
      <c r="FU43" t="e">
        <f>AND(#REF!,"AAAAAH+dfrA=")</f>
        <v>#REF!</v>
      </c>
      <c r="FV43" t="e">
        <f>AND(#REF!,"AAAAAH+dfrE=")</f>
        <v>#REF!</v>
      </c>
      <c r="FW43" t="e">
        <f>AND(#REF!,"AAAAAH+dfrI=")</f>
        <v>#REF!</v>
      </c>
      <c r="FX43" t="e">
        <f>AND(#REF!,"AAAAAH+dfrM=")</f>
        <v>#REF!</v>
      </c>
      <c r="FY43" t="e">
        <f>AND(#REF!,"AAAAAH+dfrQ=")</f>
        <v>#REF!</v>
      </c>
      <c r="FZ43" t="e">
        <f>AND(#REF!,"AAAAAH+dfrU=")</f>
        <v>#REF!</v>
      </c>
      <c r="GA43" t="e">
        <f>AND(#REF!,"AAAAAH+dfrY=")</f>
        <v>#REF!</v>
      </c>
      <c r="GB43" t="e">
        <f>AND(#REF!,"AAAAAH+dfrc=")</f>
        <v>#REF!</v>
      </c>
      <c r="GC43" t="e">
        <f>AND(#REF!,"AAAAAH+dfrg=")</f>
        <v>#REF!</v>
      </c>
      <c r="GD43" t="e">
        <f>AND(#REF!,"AAAAAH+dfrk=")</f>
        <v>#REF!</v>
      </c>
      <c r="GE43" t="e">
        <f>AND(#REF!,"AAAAAH+dfro=")</f>
        <v>#REF!</v>
      </c>
      <c r="GF43" t="e">
        <f>AND(#REF!,"AAAAAH+dfrs=")</f>
        <v>#REF!</v>
      </c>
      <c r="GG43" t="e">
        <f>AND(#REF!,"AAAAAH+dfrw=")</f>
        <v>#REF!</v>
      </c>
      <c r="GH43" t="e">
        <f>AND(#REF!,"AAAAAH+dfr0=")</f>
        <v>#REF!</v>
      </c>
      <c r="GI43" t="e">
        <f>AND(#REF!,"AAAAAH+dfr4=")</f>
        <v>#REF!</v>
      </c>
      <c r="GJ43" t="e">
        <f>AND(#REF!,"AAAAAH+dfr8=")</f>
        <v>#REF!</v>
      </c>
      <c r="GK43" t="e">
        <f>AND(#REF!,"AAAAAH+dfsA=")</f>
        <v>#REF!</v>
      </c>
      <c r="GL43" t="e">
        <f>AND(#REF!,"AAAAAH+dfsE=")</f>
        <v>#REF!</v>
      </c>
      <c r="GM43" t="e">
        <f>AND(#REF!,"AAAAAH+dfsI=")</f>
        <v>#REF!</v>
      </c>
      <c r="GN43" t="e">
        <f>AND(#REF!,"AAAAAH+dfsM=")</f>
        <v>#REF!</v>
      </c>
      <c r="GO43" t="e">
        <f>AND(#REF!,"AAAAAH+dfsQ=")</f>
        <v>#REF!</v>
      </c>
      <c r="GP43" t="e">
        <f>AND(#REF!,"AAAAAH+dfsU=")</f>
        <v>#REF!</v>
      </c>
      <c r="GQ43" t="e">
        <f>AND(#REF!,"AAAAAH+dfsY=")</f>
        <v>#REF!</v>
      </c>
      <c r="GR43" t="e">
        <f>AND(#REF!,"AAAAAH+dfsc=")</f>
        <v>#REF!</v>
      </c>
      <c r="GS43" t="e">
        <f>AND(#REF!,"AAAAAH+dfsg=")</f>
        <v>#REF!</v>
      </c>
      <c r="GT43" t="e">
        <f>AND(#REF!,"AAAAAH+dfsk=")</f>
        <v>#REF!</v>
      </c>
      <c r="GU43" t="e">
        <f>AND(#REF!,"AAAAAH+dfso=")</f>
        <v>#REF!</v>
      </c>
      <c r="GV43" t="e">
        <f>AND(#REF!,"AAAAAH+dfss=")</f>
        <v>#REF!</v>
      </c>
      <c r="GW43" t="e">
        <f>AND(#REF!,"AAAAAH+dfsw=")</f>
        <v>#REF!</v>
      </c>
      <c r="GX43" t="e">
        <f>IF(#REF!,"AAAAAH+dfs0=",0)</f>
        <v>#REF!</v>
      </c>
      <c r="GY43" t="e">
        <f>AND(#REF!,"AAAAAH+dfs4=")</f>
        <v>#REF!</v>
      </c>
      <c r="GZ43" t="e">
        <f>AND(#REF!,"AAAAAH+dfs8=")</f>
        <v>#REF!</v>
      </c>
      <c r="HA43" t="e">
        <f>AND(#REF!,"AAAAAH+dftA=")</f>
        <v>#REF!</v>
      </c>
      <c r="HB43" t="e">
        <f>AND(#REF!,"AAAAAH+dftE=")</f>
        <v>#REF!</v>
      </c>
      <c r="HC43" t="e">
        <f>AND(#REF!,"AAAAAH+dftI=")</f>
        <v>#REF!</v>
      </c>
      <c r="HD43" t="e">
        <f>AND(#REF!,"AAAAAH+dftM=")</f>
        <v>#REF!</v>
      </c>
      <c r="HE43" t="e">
        <f>AND(#REF!,"AAAAAH+dftQ=")</f>
        <v>#REF!</v>
      </c>
      <c r="HF43" t="e">
        <f>AND(#REF!,"AAAAAH+dftU=")</f>
        <v>#REF!</v>
      </c>
      <c r="HG43" t="e">
        <f>AND(#REF!,"AAAAAH+dftY=")</f>
        <v>#REF!</v>
      </c>
      <c r="HH43" t="e">
        <f>AND(#REF!,"AAAAAH+dftc=")</f>
        <v>#REF!</v>
      </c>
      <c r="HI43" t="e">
        <f>AND(#REF!,"AAAAAH+dftg=")</f>
        <v>#REF!</v>
      </c>
      <c r="HJ43" t="e">
        <f>AND(#REF!,"AAAAAH+dftk=")</f>
        <v>#REF!</v>
      </c>
      <c r="HK43" t="e">
        <f>AND(#REF!,"AAAAAH+dfto=")</f>
        <v>#REF!</v>
      </c>
      <c r="HL43" t="e">
        <f>AND(#REF!,"AAAAAH+dfts=")</f>
        <v>#REF!</v>
      </c>
      <c r="HM43" t="e">
        <f>AND(#REF!,"AAAAAH+dftw=")</f>
        <v>#REF!</v>
      </c>
      <c r="HN43" t="e">
        <f>AND(#REF!,"AAAAAH+dft0=")</f>
        <v>#REF!</v>
      </c>
      <c r="HO43" t="e">
        <f>AND(#REF!,"AAAAAH+dft4=")</f>
        <v>#REF!</v>
      </c>
      <c r="HP43" t="e">
        <f>AND(#REF!,"AAAAAH+dft8=")</f>
        <v>#REF!</v>
      </c>
      <c r="HQ43" t="e">
        <f>AND(#REF!,"AAAAAH+dfuA=")</f>
        <v>#REF!</v>
      </c>
      <c r="HR43" t="e">
        <f>AND(#REF!,"AAAAAH+dfuE=")</f>
        <v>#REF!</v>
      </c>
      <c r="HS43" t="e">
        <f>AND(#REF!,"AAAAAH+dfuI=")</f>
        <v>#REF!</v>
      </c>
      <c r="HT43" t="e">
        <f>AND(#REF!,"AAAAAH+dfuM=")</f>
        <v>#REF!</v>
      </c>
      <c r="HU43" t="e">
        <f>AND(#REF!,"AAAAAH+dfuQ=")</f>
        <v>#REF!</v>
      </c>
      <c r="HV43" t="e">
        <f>AND(#REF!,"AAAAAH+dfuU=")</f>
        <v>#REF!</v>
      </c>
      <c r="HW43" t="e">
        <f>AND(#REF!,"AAAAAH+dfuY=")</f>
        <v>#REF!</v>
      </c>
      <c r="HX43" t="e">
        <f>AND(#REF!,"AAAAAH+dfuc=")</f>
        <v>#REF!</v>
      </c>
      <c r="HY43" t="e">
        <f>AND(#REF!,"AAAAAH+dfug=")</f>
        <v>#REF!</v>
      </c>
      <c r="HZ43" t="e">
        <f>AND(#REF!,"AAAAAH+dfuk=")</f>
        <v>#REF!</v>
      </c>
      <c r="IA43" t="e">
        <f>AND(#REF!,"AAAAAH+dfuo=")</f>
        <v>#REF!</v>
      </c>
      <c r="IB43" t="e">
        <f>AND(#REF!,"AAAAAH+dfus=")</f>
        <v>#REF!</v>
      </c>
      <c r="IC43" t="e">
        <f>AND(#REF!,"AAAAAH+dfuw=")</f>
        <v>#REF!</v>
      </c>
      <c r="ID43" t="e">
        <f>AND(#REF!,"AAAAAH+dfu0=")</f>
        <v>#REF!</v>
      </c>
      <c r="IE43" t="e">
        <f>AND(#REF!,"AAAAAH+dfu4=")</f>
        <v>#REF!</v>
      </c>
      <c r="IF43" t="e">
        <f>AND(#REF!,"AAAAAH+dfu8=")</f>
        <v>#REF!</v>
      </c>
      <c r="IG43" t="e">
        <f>AND(#REF!,"AAAAAH+dfvA=")</f>
        <v>#REF!</v>
      </c>
      <c r="IH43" t="e">
        <f>AND(#REF!,"AAAAAH+dfvE=")</f>
        <v>#REF!</v>
      </c>
      <c r="II43" t="e">
        <f>AND(#REF!,"AAAAAH+dfvI=")</f>
        <v>#REF!</v>
      </c>
      <c r="IJ43" t="e">
        <f>AND(#REF!,"AAAAAH+dfvM=")</f>
        <v>#REF!</v>
      </c>
      <c r="IK43" t="e">
        <f>AND(#REF!,"AAAAAH+dfvQ=")</f>
        <v>#REF!</v>
      </c>
      <c r="IL43" t="e">
        <f>AND(#REF!,"AAAAAH+dfvU=")</f>
        <v>#REF!</v>
      </c>
      <c r="IM43" t="e">
        <f>AND(#REF!,"AAAAAH+dfvY=")</f>
        <v>#REF!</v>
      </c>
      <c r="IN43" t="e">
        <f>AND(#REF!,"AAAAAH+dfvc=")</f>
        <v>#REF!</v>
      </c>
      <c r="IO43" t="e">
        <f>AND(#REF!,"AAAAAH+dfvg=")</f>
        <v>#REF!</v>
      </c>
      <c r="IP43" t="e">
        <f>AND(#REF!,"AAAAAH+dfvk=")</f>
        <v>#REF!</v>
      </c>
      <c r="IQ43" t="e">
        <f>AND(#REF!,"AAAAAH+dfvo=")</f>
        <v>#REF!</v>
      </c>
      <c r="IR43" t="e">
        <f>AND(#REF!,"AAAAAH+dfvs=")</f>
        <v>#REF!</v>
      </c>
      <c r="IS43" t="e">
        <f>AND(#REF!,"AAAAAH+dfvw=")</f>
        <v>#REF!</v>
      </c>
      <c r="IT43" t="e">
        <f>AND(#REF!,"AAAAAH+dfv0=")</f>
        <v>#REF!</v>
      </c>
      <c r="IU43" t="e">
        <f>AND(#REF!,"AAAAAH+dfv4=")</f>
        <v>#REF!</v>
      </c>
      <c r="IV43" t="e">
        <f>AND(#REF!,"AAAAAH+dfv8=")</f>
        <v>#REF!</v>
      </c>
    </row>
    <row r="44" spans="1:256" x14ac:dyDescent="0.2">
      <c r="A44" t="e">
        <f>AND(#REF!,"AAAAAD39vQA=")</f>
        <v>#REF!</v>
      </c>
      <c r="B44" t="e">
        <f>AND(#REF!,"AAAAAD39vQE=")</f>
        <v>#REF!</v>
      </c>
      <c r="C44" t="e">
        <f>AND(#REF!,"AAAAAD39vQI=")</f>
        <v>#REF!</v>
      </c>
      <c r="D44" t="e">
        <f>AND(#REF!,"AAAAAD39vQM=")</f>
        <v>#REF!</v>
      </c>
      <c r="E44" t="e">
        <f>AND(#REF!,"AAAAAD39vQQ=")</f>
        <v>#REF!</v>
      </c>
      <c r="F44" t="e">
        <f>AND(#REF!,"AAAAAD39vQU=")</f>
        <v>#REF!</v>
      </c>
      <c r="G44" t="e">
        <f>AND(#REF!,"AAAAAD39vQY=")</f>
        <v>#REF!</v>
      </c>
      <c r="H44" t="e">
        <f>AND(#REF!,"AAAAAD39vQc=")</f>
        <v>#REF!</v>
      </c>
      <c r="I44" t="e">
        <f>AND(#REF!,"AAAAAD39vQg=")</f>
        <v>#REF!</v>
      </c>
      <c r="J44" t="e">
        <f>AND(#REF!,"AAAAAD39vQk=")</f>
        <v>#REF!</v>
      </c>
      <c r="K44" t="e">
        <f>AND(#REF!,"AAAAAD39vQo=")</f>
        <v>#REF!</v>
      </c>
      <c r="L44" t="e">
        <f>AND(#REF!,"AAAAAD39vQs=")</f>
        <v>#REF!</v>
      </c>
      <c r="M44" t="e">
        <f>AND(#REF!,"AAAAAD39vQw=")</f>
        <v>#REF!</v>
      </c>
      <c r="N44" t="e">
        <f>AND(#REF!,"AAAAAD39vQ0=")</f>
        <v>#REF!</v>
      </c>
      <c r="O44" t="e">
        <f>AND(#REF!,"AAAAAD39vQ4=")</f>
        <v>#REF!</v>
      </c>
      <c r="P44" t="e">
        <f>AND(#REF!,"AAAAAD39vQ8=")</f>
        <v>#REF!</v>
      </c>
      <c r="Q44" t="e">
        <f>AND(#REF!,"AAAAAD39vRA=")</f>
        <v>#REF!</v>
      </c>
      <c r="R44" t="e">
        <f>AND(#REF!,"AAAAAD39vRE=")</f>
        <v>#REF!</v>
      </c>
      <c r="S44" t="e">
        <f>AND(#REF!,"AAAAAD39vRI=")</f>
        <v>#REF!</v>
      </c>
      <c r="T44" t="e">
        <f>AND(#REF!,"AAAAAD39vRM=")</f>
        <v>#REF!</v>
      </c>
      <c r="U44" t="e">
        <f>AND(#REF!,"AAAAAD39vRQ=")</f>
        <v>#REF!</v>
      </c>
      <c r="V44" t="e">
        <f>AND(#REF!,"AAAAAD39vRU=")</f>
        <v>#REF!</v>
      </c>
      <c r="W44" t="e">
        <f>AND(#REF!,"AAAAAD39vRY=")</f>
        <v>#REF!</v>
      </c>
      <c r="X44" t="e">
        <f>AND(#REF!,"AAAAAD39vRc=")</f>
        <v>#REF!</v>
      </c>
      <c r="Y44" t="e">
        <f>IF(#REF!,"AAAAAD39vRg=",0)</f>
        <v>#REF!</v>
      </c>
      <c r="Z44" t="e">
        <f>AND(#REF!,"AAAAAD39vRk=")</f>
        <v>#REF!</v>
      </c>
      <c r="AA44" t="e">
        <f>AND(#REF!,"AAAAAD39vRo=")</f>
        <v>#REF!</v>
      </c>
      <c r="AB44" t="e">
        <f>AND(#REF!,"AAAAAD39vRs=")</f>
        <v>#REF!</v>
      </c>
      <c r="AC44" t="e">
        <f>AND(#REF!,"AAAAAD39vRw=")</f>
        <v>#REF!</v>
      </c>
      <c r="AD44" t="e">
        <f>AND(#REF!,"AAAAAD39vR0=")</f>
        <v>#REF!</v>
      </c>
      <c r="AE44" t="e">
        <f>AND(#REF!,"AAAAAD39vR4=")</f>
        <v>#REF!</v>
      </c>
      <c r="AF44" t="e">
        <f>AND(#REF!,"AAAAAD39vR8=")</f>
        <v>#REF!</v>
      </c>
      <c r="AG44" t="e">
        <f>AND(#REF!,"AAAAAD39vSA=")</f>
        <v>#REF!</v>
      </c>
      <c r="AH44" t="e">
        <f>AND(#REF!,"AAAAAD39vSE=")</f>
        <v>#REF!</v>
      </c>
      <c r="AI44" t="e">
        <f>AND(#REF!,"AAAAAD39vSI=")</f>
        <v>#REF!</v>
      </c>
      <c r="AJ44" t="e">
        <f>AND(#REF!,"AAAAAD39vSM=")</f>
        <v>#REF!</v>
      </c>
      <c r="AK44" t="e">
        <f>AND(#REF!,"AAAAAD39vSQ=")</f>
        <v>#REF!</v>
      </c>
      <c r="AL44" t="e">
        <f>AND(#REF!,"AAAAAD39vSU=")</f>
        <v>#REF!</v>
      </c>
      <c r="AM44" t="e">
        <f>AND(#REF!,"AAAAAD39vSY=")</f>
        <v>#REF!</v>
      </c>
      <c r="AN44" t="e">
        <f>AND(#REF!,"AAAAAD39vSc=")</f>
        <v>#REF!</v>
      </c>
      <c r="AO44" t="e">
        <f>AND(#REF!,"AAAAAD39vSg=")</f>
        <v>#REF!</v>
      </c>
      <c r="AP44" t="e">
        <f>AND(#REF!,"AAAAAD39vSk=")</f>
        <v>#REF!</v>
      </c>
      <c r="AQ44" t="e">
        <f>AND(#REF!,"AAAAAD39vSo=")</f>
        <v>#REF!</v>
      </c>
      <c r="AR44" t="e">
        <f>AND(#REF!,"AAAAAD39vSs=")</f>
        <v>#REF!</v>
      </c>
      <c r="AS44" t="e">
        <f>AND(#REF!,"AAAAAD39vSw=")</f>
        <v>#REF!</v>
      </c>
      <c r="AT44" t="e">
        <f>AND(#REF!,"AAAAAD39vS0=")</f>
        <v>#REF!</v>
      </c>
      <c r="AU44" t="e">
        <f>AND(#REF!,"AAAAAD39vS4=")</f>
        <v>#REF!</v>
      </c>
      <c r="AV44" t="e">
        <f>AND(#REF!,"AAAAAD39vS8=")</f>
        <v>#REF!</v>
      </c>
      <c r="AW44" t="e">
        <f>AND(#REF!,"AAAAAD39vTA=")</f>
        <v>#REF!</v>
      </c>
      <c r="AX44" t="e">
        <f>AND(#REF!,"AAAAAD39vTE=")</f>
        <v>#REF!</v>
      </c>
      <c r="AY44" t="e">
        <f>AND(#REF!,"AAAAAD39vTI=")</f>
        <v>#REF!</v>
      </c>
      <c r="AZ44" t="e">
        <f>AND(#REF!,"AAAAAD39vTM=")</f>
        <v>#REF!</v>
      </c>
      <c r="BA44" t="e">
        <f>AND(#REF!,"AAAAAD39vTQ=")</f>
        <v>#REF!</v>
      </c>
      <c r="BB44" t="e">
        <f>AND(#REF!,"AAAAAD39vTU=")</f>
        <v>#REF!</v>
      </c>
      <c r="BC44" t="e">
        <f>AND(#REF!,"AAAAAD39vTY=")</f>
        <v>#REF!</v>
      </c>
      <c r="BD44" t="e">
        <f>AND(#REF!,"AAAAAD39vTc=")</f>
        <v>#REF!</v>
      </c>
      <c r="BE44" t="e">
        <f>AND(#REF!,"AAAAAD39vTg=")</f>
        <v>#REF!</v>
      </c>
      <c r="BF44" t="e">
        <f>AND(#REF!,"AAAAAD39vTk=")</f>
        <v>#REF!</v>
      </c>
      <c r="BG44" t="e">
        <f>AND(#REF!,"AAAAAD39vTo=")</f>
        <v>#REF!</v>
      </c>
      <c r="BH44" t="e">
        <f>AND(#REF!,"AAAAAD39vTs=")</f>
        <v>#REF!</v>
      </c>
      <c r="BI44" t="e">
        <f>AND(#REF!,"AAAAAD39vTw=")</f>
        <v>#REF!</v>
      </c>
      <c r="BJ44" t="e">
        <f>AND(#REF!,"AAAAAD39vT0=")</f>
        <v>#REF!</v>
      </c>
      <c r="BK44" t="e">
        <f>AND(#REF!,"AAAAAD39vT4=")</f>
        <v>#REF!</v>
      </c>
      <c r="BL44" t="e">
        <f>AND(#REF!,"AAAAAD39vT8=")</f>
        <v>#REF!</v>
      </c>
      <c r="BM44" t="e">
        <f>AND(#REF!,"AAAAAD39vUA=")</f>
        <v>#REF!</v>
      </c>
      <c r="BN44" t="e">
        <f>AND(#REF!,"AAAAAD39vUE=")</f>
        <v>#REF!</v>
      </c>
      <c r="BO44" t="e">
        <f>AND(#REF!,"AAAAAD39vUI=")</f>
        <v>#REF!</v>
      </c>
      <c r="BP44" t="e">
        <f>AND(#REF!,"AAAAAD39vUM=")</f>
        <v>#REF!</v>
      </c>
      <c r="BQ44" t="e">
        <f>AND(#REF!,"AAAAAD39vUQ=")</f>
        <v>#REF!</v>
      </c>
      <c r="BR44" t="e">
        <f>AND(#REF!,"AAAAAD39vUU=")</f>
        <v>#REF!</v>
      </c>
      <c r="BS44" t="e">
        <f>AND(#REF!,"AAAAAD39vUY=")</f>
        <v>#REF!</v>
      </c>
      <c r="BT44" t="e">
        <f>AND(#REF!,"AAAAAD39vUc=")</f>
        <v>#REF!</v>
      </c>
      <c r="BU44" t="e">
        <f>AND(#REF!,"AAAAAD39vUg=")</f>
        <v>#REF!</v>
      </c>
      <c r="BV44" t="e">
        <f>AND(#REF!,"AAAAAD39vUk=")</f>
        <v>#REF!</v>
      </c>
      <c r="BW44" t="e">
        <f>AND(#REF!,"AAAAAD39vUo=")</f>
        <v>#REF!</v>
      </c>
      <c r="BX44" t="e">
        <f>AND(#REF!,"AAAAAD39vUs=")</f>
        <v>#REF!</v>
      </c>
      <c r="BY44" t="e">
        <f>AND(#REF!,"AAAAAD39vUw=")</f>
        <v>#REF!</v>
      </c>
      <c r="BZ44" t="e">
        <f>AND(#REF!,"AAAAAD39vU0=")</f>
        <v>#REF!</v>
      </c>
      <c r="CA44" t="e">
        <f>AND(#REF!,"AAAAAD39vU4=")</f>
        <v>#REF!</v>
      </c>
      <c r="CB44" t="e">
        <f>AND(#REF!,"AAAAAD39vU8=")</f>
        <v>#REF!</v>
      </c>
      <c r="CC44" t="e">
        <f>AND(#REF!,"AAAAAD39vVA=")</f>
        <v>#REF!</v>
      </c>
      <c r="CD44" t="e">
        <f>AND(#REF!,"AAAAAD39vVE=")</f>
        <v>#REF!</v>
      </c>
      <c r="CE44" t="e">
        <f>AND(#REF!,"AAAAAD39vVI=")</f>
        <v>#REF!</v>
      </c>
      <c r="CF44" t="e">
        <f>AND(#REF!,"AAAAAD39vVM=")</f>
        <v>#REF!</v>
      </c>
      <c r="CG44" t="e">
        <f>AND(#REF!,"AAAAAD39vVQ=")</f>
        <v>#REF!</v>
      </c>
      <c r="CH44" t="e">
        <f>AND(#REF!,"AAAAAD39vVU=")</f>
        <v>#REF!</v>
      </c>
      <c r="CI44" t="e">
        <f>AND(#REF!,"AAAAAD39vVY=")</f>
        <v>#REF!</v>
      </c>
      <c r="CJ44" t="e">
        <f>AND(#REF!,"AAAAAD39vVc=")</f>
        <v>#REF!</v>
      </c>
      <c r="CK44" t="e">
        <f>AND(#REF!,"AAAAAD39vVg=")</f>
        <v>#REF!</v>
      </c>
      <c r="CL44" t="e">
        <f>AND(#REF!,"AAAAAD39vVk=")</f>
        <v>#REF!</v>
      </c>
      <c r="CM44" t="e">
        <f>AND(#REF!,"AAAAAD39vVo=")</f>
        <v>#REF!</v>
      </c>
      <c r="CN44" t="e">
        <f>AND(#REF!,"AAAAAD39vVs=")</f>
        <v>#REF!</v>
      </c>
      <c r="CO44" t="e">
        <f>AND(#REF!,"AAAAAD39vVw=")</f>
        <v>#REF!</v>
      </c>
      <c r="CP44" t="e">
        <f>AND(#REF!,"AAAAAD39vV0=")</f>
        <v>#REF!</v>
      </c>
      <c r="CQ44" t="e">
        <f>AND(#REF!,"AAAAAD39vV4=")</f>
        <v>#REF!</v>
      </c>
      <c r="CR44" t="e">
        <f>AND(#REF!,"AAAAAD39vV8=")</f>
        <v>#REF!</v>
      </c>
      <c r="CS44" t="e">
        <f>AND(#REF!,"AAAAAD39vWA=")</f>
        <v>#REF!</v>
      </c>
      <c r="CT44" t="e">
        <f>AND(#REF!,"AAAAAD39vWE=")</f>
        <v>#REF!</v>
      </c>
      <c r="CU44" t="e">
        <f>AND(#REF!,"AAAAAD39vWI=")</f>
        <v>#REF!</v>
      </c>
      <c r="CV44" t="e">
        <f>IF(#REF!,"AAAAAD39vWM=",0)</f>
        <v>#REF!</v>
      </c>
      <c r="CW44" t="e">
        <f>AND(#REF!,"AAAAAD39vWQ=")</f>
        <v>#REF!</v>
      </c>
      <c r="CX44" t="e">
        <f>AND(#REF!,"AAAAAD39vWU=")</f>
        <v>#REF!</v>
      </c>
      <c r="CY44" t="e">
        <f>AND(#REF!,"AAAAAD39vWY=")</f>
        <v>#REF!</v>
      </c>
      <c r="CZ44" t="e">
        <f>AND(#REF!,"AAAAAD39vWc=")</f>
        <v>#REF!</v>
      </c>
      <c r="DA44" t="e">
        <f>AND(#REF!,"AAAAAD39vWg=")</f>
        <v>#REF!</v>
      </c>
      <c r="DB44" t="e">
        <f>AND(#REF!,"AAAAAD39vWk=")</f>
        <v>#REF!</v>
      </c>
      <c r="DC44" t="e">
        <f>AND(#REF!,"AAAAAD39vWo=")</f>
        <v>#REF!</v>
      </c>
      <c r="DD44" t="e">
        <f>AND(#REF!,"AAAAAD39vWs=")</f>
        <v>#REF!</v>
      </c>
      <c r="DE44" t="e">
        <f>AND(#REF!,"AAAAAD39vWw=")</f>
        <v>#REF!</v>
      </c>
      <c r="DF44" t="e">
        <f>AND(#REF!,"AAAAAD39vW0=")</f>
        <v>#REF!</v>
      </c>
      <c r="DG44" t="e">
        <f>AND(#REF!,"AAAAAD39vW4=")</f>
        <v>#REF!</v>
      </c>
      <c r="DH44" t="e">
        <f>AND(#REF!,"AAAAAD39vW8=")</f>
        <v>#REF!</v>
      </c>
      <c r="DI44" t="e">
        <f>AND(#REF!,"AAAAAD39vXA=")</f>
        <v>#REF!</v>
      </c>
      <c r="DJ44" t="e">
        <f>AND(#REF!,"AAAAAD39vXE=")</f>
        <v>#REF!</v>
      </c>
      <c r="DK44" t="e">
        <f>AND(#REF!,"AAAAAD39vXI=")</f>
        <v>#REF!</v>
      </c>
      <c r="DL44" t="e">
        <f>AND(#REF!,"AAAAAD39vXM=")</f>
        <v>#REF!</v>
      </c>
      <c r="DM44" t="e">
        <f>AND(#REF!,"AAAAAD39vXQ=")</f>
        <v>#REF!</v>
      </c>
      <c r="DN44" t="e">
        <f>AND(#REF!,"AAAAAD39vXU=")</f>
        <v>#REF!</v>
      </c>
      <c r="DO44" t="e">
        <f>AND(#REF!,"AAAAAD39vXY=")</f>
        <v>#REF!</v>
      </c>
      <c r="DP44" t="e">
        <f>AND(#REF!,"AAAAAD39vXc=")</f>
        <v>#REF!</v>
      </c>
      <c r="DQ44" t="e">
        <f>AND(#REF!,"AAAAAD39vXg=")</f>
        <v>#REF!</v>
      </c>
      <c r="DR44" t="e">
        <f>AND(#REF!,"AAAAAD39vXk=")</f>
        <v>#REF!</v>
      </c>
      <c r="DS44" t="e">
        <f>AND(#REF!,"AAAAAD39vXo=")</f>
        <v>#REF!</v>
      </c>
      <c r="DT44" t="e">
        <f>AND(#REF!,"AAAAAD39vXs=")</f>
        <v>#REF!</v>
      </c>
      <c r="DU44" t="e">
        <f>AND(#REF!,"AAAAAD39vXw=")</f>
        <v>#REF!</v>
      </c>
      <c r="DV44" t="e">
        <f>AND(#REF!,"AAAAAD39vX0=")</f>
        <v>#REF!</v>
      </c>
      <c r="DW44" t="e">
        <f>AND(#REF!,"AAAAAD39vX4=")</f>
        <v>#REF!</v>
      </c>
      <c r="DX44" t="e">
        <f>AND(#REF!,"AAAAAD39vX8=")</f>
        <v>#REF!</v>
      </c>
      <c r="DY44" t="e">
        <f>AND(#REF!,"AAAAAD39vYA=")</f>
        <v>#REF!</v>
      </c>
      <c r="DZ44" t="e">
        <f>AND(#REF!,"AAAAAD39vYE=")</f>
        <v>#REF!</v>
      </c>
      <c r="EA44" t="e">
        <f>AND(#REF!,"AAAAAD39vYI=")</f>
        <v>#REF!</v>
      </c>
      <c r="EB44" t="e">
        <f>AND(#REF!,"AAAAAD39vYM=")</f>
        <v>#REF!</v>
      </c>
      <c r="EC44" t="e">
        <f>AND(#REF!,"AAAAAD39vYQ=")</f>
        <v>#REF!</v>
      </c>
      <c r="ED44" t="e">
        <f>AND(#REF!,"AAAAAD39vYU=")</f>
        <v>#REF!</v>
      </c>
      <c r="EE44" t="e">
        <f>AND(#REF!,"AAAAAD39vYY=")</f>
        <v>#REF!</v>
      </c>
      <c r="EF44" t="e">
        <f>AND(#REF!,"AAAAAD39vYc=")</f>
        <v>#REF!</v>
      </c>
      <c r="EG44" t="e">
        <f>AND(#REF!,"AAAAAD39vYg=")</f>
        <v>#REF!</v>
      </c>
      <c r="EH44" t="e">
        <f>AND(#REF!,"AAAAAD39vYk=")</f>
        <v>#REF!</v>
      </c>
      <c r="EI44" t="e">
        <f>AND(#REF!,"AAAAAD39vYo=")</f>
        <v>#REF!</v>
      </c>
      <c r="EJ44" t="e">
        <f>AND(#REF!,"AAAAAD39vYs=")</f>
        <v>#REF!</v>
      </c>
      <c r="EK44" t="e">
        <f>AND(#REF!,"AAAAAD39vYw=")</f>
        <v>#REF!</v>
      </c>
      <c r="EL44" t="e">
        <f>AND(#REF!,"AAAAAD39vY0=")</f>
        <v>#REF!</v>
      </c>
      <c r="EM44" t="e">
        <f>AND(#REF!,"AAAAAD39vY4=")</f>
        <v>#REF!</v>
      </c>
      <c r="EN44" t="e">
        <f>AND(#REF!,"AAAAAD39vY8=")</f>
        <v>#REF!</v>
      </c>
      <c r="EO44" t="e">
        <f>AND(#REF!,"AAAAAD39vZA=")</f>
        <v>#REF!</v>
      </c>
      <c r="EP44" t="e">
        <f>AND(#REF!,"AAAAAD39vZE=")</f>
        <v>#REF!</v>
      </c>
      <c r="EQ44" t="e">
        <f>AND(#REF!,"AAAAAD39vZI=")</f>
        <v>#REF!</v>
      </c>
      <c r="ER44" t="e">
        <f>AND(#REF!,"AAAAAD39vZM=")</f>
        <v>#REF!</v>
      </c>
      <c r="ES44" t="e">
        <f>AND(#REF!,"AAAAAD39vZQ=")</f>
        <v>#REF!</v>
      </c>
      <c r="ET44" t="e">
        <f>AND(#REF!,"AAAAAD39vZU=")</f>
        <v>#REF!</v>
      </c>
      <c r="EU44" t="e">
        <f>AND(#REF!,"AAAAAD39vZY=")</f>
        <v>#REF!</v>
      </c>
      <c r="EV44" t="e">
        <f>AND(#REF!,"AAAAAD39vZc=")</f>
        <v>#REF!</v>
      </c>
      <c r="EW44" t="e">
        <f>AND(#REF!,"AAAAAD39vZg=")</f>
        <v>#REF!</v>
      </c>
      <c r="EX44" t="e">
        <f>AND(#REF!,"AAAAAD39vZk=")</f>
        <v>#REF!</v>
      </c>
      <c r="EY44" t="e">
        <f>AND(#REF!,"AAAAAD39vZo=")</f>
        <v>#REF!</v>
      </c>
      <c r="EZ44" t="e">
        <f>AND(#REF!,"AAAAAD39vZs=")</f>
        <v>#REF!</v>
      </c>
      <c r="FA44" t="e">
        <f>AND(#REF!,"AAAAAD39vZw=")</f>
        <v>#REF!</v>
      </c>
      <c r="FB44" t="e">
        <f>AND(#REF!,"AAAAAD39vZ0=")</f>
        <v>#REF!</v>
      </c>
      <c r="FC44" t="e">
        <f>AND(#REF!,"AAAAAD39vZ4=")</f>
        <v>#REF!</v>
      </c>
      <c r="FD44" t="e">
        <f>AND(#REF!,"AAAAAD39vZ8=")</f>
        <v>#REF!</v>
      </c>
      <c r="FE44" t="e">
        <f>AND(#REF!,"AAAAAD39vaA=")</f>
        <v>#REF!</v>
      </c>
      <c r="FF44" t="e">
        <f>AND(#REF!,"AAAAAD39vaE=")</f>
        <v>#REF!</v>
      </c>
      <c r="FG44" t="e">
        <f>AND(#REF!,"AAAAAD39vaI=")</f>
        <v>#REF!</v>
      </c>
      <c r="FH44" t="e">
        <f>AND(#REF!,"AAAAAD39vaM=")</f>
        <v>#REF!</v>
      </c>
      <c r="FI44" t="e">
        <f>AND(#REF!,"AAAAAD39vaQ=")</f>
        <v>#REF!</v>
      </c>
      <c r="FJ44" t="e">
        <f>AND(#REF!,"AAAAAD39vaU=")</f>
        <v>#REF!</v>
      </c>
      <c r="FK44" t="e">
        <f>AND(#REF!,"AAAAAD39vaY=")</f>
        <v>#REF!</v>
      </c>
      <c r="FL44" t="e">
        <f>AND(#REF!,"AAAAAD39vac=")</f>
        <v>#REF!</v>
      </c>
      <c r="FM44" t="e">
        <f>AND(#REF!,"AAAAAD39vag=")</f>
        <v>#REF!</v>
      </c>
      <c r="FN44" t="e">
        <f>AND(#REF!,"AAAAAD39vak=")</f>
        <v>#REF!</v>
      </c>
      <c r="FO44" t="e">
        <f>AND(#REF!,"AAAAAD39vao=")</f>
        <v>#REF!</v>
      </c>
      <c r="FP44" t="e">
        <f>AND(#REF!,"AAAAAD39vas=")</f>
        <v>#REF!</v>
      </c>
      <c r="FQ44" t="e">
        <f>AND(#REF!,"AAAAAD39vaw=")</f>
        <v>#REF!</v>
      </c>
      <c r="FR44" t="e">
        <f>AND(#REF!,"AAAAAD39va0=")</f>
        <v>#REF!</v>
      </c>
      <c r="FS44" t="e">
        <f>IF(#REF!,"AAAAAD39va4=",0)</f>
        <v>#REF!</v>
      </c>
      <c r="FT44" t="e">
        <f>AND(#REF!,"AAAAAD39va8=")</f>
        <v>#REF!</v>
      </c>
      <c r="FU44" t="e">
        <f>AND(#REF!,"AAAAAD39vbA=")</f>
        <v>#REF!</v>
      </c>
      <c r="FV44" t="e">
        <f>AND(#REF!,"AAAAAD39vbE=")</f>
        <v>#REF!</v>
      </c>
      <c r="FW44" t="e">
        <f>AND(#REF!,"AAAAAD39vbI=")</f>
        <v>#REF!</v>
      </c>
      <c r="FX44" t="e">
        <f>AND(#REF!,"AAAAAD39vbM=")</f>
        <v>#REF!</v>
      </c>
      <c r="FY44" t="e">
        <f>AND(#REF!,"AAAAAD39vbQ=")</f>
        <v>#REF!</v>
      </c>
      <c r="FZ44" t="e">
        <f>AND(#REF!,"AAAAAD39vbU=")</f>
        <v>#REF!</v>
      </c>
      <c r="GA44" t="e">
        <f>AND(#REF!,"AAAAAD39vbY=")</f>
        <v>#REF!</v>
      </c>
      <c r="GB44" t="e">
        <f>AND(#REF!,"AAAAAD39vbc=")</f>
        <v>#REF!</v>
      </c>
      <c r="GC44" t="e">
        <f>AND(#REF!,"AAAAAD39vbg=")</f>
        <v>#REF!</v>
      </c>
      <c r="GD44" t="e">
        <f>AND(#REF!,"AAAAAD39vbk=")</f>
        <v>#REF!</v>
      </c>
      <c r="GE44" t="e">
        <f>AND(#REF!,"AAAAAD39vbo=")</f>
        <v>#REF!</v>
      </c>
      <c r="GF44" t="e">
        <f>AND(#REF!,"AAAAAD39vbs=")</f>
        <v>#REF!</v>
      </c>
      <c r="GG44" t="e">
        <f>AND(#REF!,"AAAAAD39vbw=")</f>
        <v>#REF!</v>
      </c>
      <c r="GH44" t="e">
        <f>AND(#REF!,"AAAAAD39vb0=")</f>
        <v>#REF!</v>
      </c>
      <c r="GI44" t="e">
        <f>AND(#REF!,"AAAAAD39vb4=")</f>
        <v>#REF!</v>
      </c>
      <c r="GJ44" t="e">
        <f>AND(#REF!,"AAAAAD39vb8=")</f>
        <v>#REF!</v>
      </c>
      <c r="GK44" t="e">
        <f>AND(#REF!,"AAAAAD39vcA=")</f>
        <v>#REF!</v>
      </c>
      <c r="GL44" t="e">
        <f>AND(#REF!,"AAAAAD39vcE=")</f>
        <v>#REF!</v>
      </c>
      <c r="GM44" t="e">
        <f>AND(#REF!,"AAAAAD39vcI=")</f>
        <v>#REF!</v>
      </c>
      <c r="GN44" t="e">
        <f>AND(#REF!,"AAAAAD39vcM=")</f>
        <v>#REF!</v>
      </c>
      <c r="GO44" t="e">
        <f>AND(#REF!,"AAAAAD39vcQ=")</f>
        <v>#REF!</v>
      </c>
      <c r="GP44" t="e">
        <f>AND(#REF!,"AAAAAD39vcU=")</f>
        <v>#REF!</v>
      </c>
      <c r="GQ44" t="e">
        <f>AND(#REF!,"AAAAAD39vcY=")</f>
        <v>#REF!</v>
      </c>
      <c r="GR44" t="e">
        <f>AND(#REF!,"AAAAAD39vcc=")</f>
        <v>#REF!</v>
      </c>
      <c r="GS44" t="e">
        <f>AND(#REF!,"AAAAAD39vcg=")</f>
        <v>#REF!</v>
      </c>
      <c r="GT44" t="e">
        <f>AND(#REF!,"AAAAAD39vck=")</f>
        <v>#REF!</v>
      </c>
      <c r="GU44" t="e">
        <f>AND(#REF!,"AAAAAD39vco=")</f>
        <v>#REF!</v>
      </c>
      <c r="GV44" t="e">
        <f>AND(#REF!,"AAAAAD39vcs=")</f>
        <v>#REF!</v>
      </c>
      <c r="GW44" t="e">
        <f>AND(#REF!,"AAAAAD39vcw=")</f>
        <v>#REF!</v>
      </c>
      <c r="GX44" t="e">
        <f>AND(#REF!,"AAAAAD39vc0=")</f>
        <v>#REF!</v>
      </c>
      <c r="GY44" t="e">
        <f>AND(#REF!,"AAAAAD39vc4=")</f>
        <v>#REF!</v>
      </c>
      <c r="GZ44" t="e">
        <f>AND(#REF!,"AAAAAD39vc8=")</f>
        <v>#REF!</v>
      </c>
      <c r="HA44" t="e">
        <f>AND(#REF!,"AAAAAD39vdA=")</f>
        <v>#REF!</v>
      </c>
      <c r="HB44" t="e">
        <f>AND(#REF!,"AAAAAD39vdE=")</f>
        <v>#REF!</v>
      </c>
      <c r="HC44" t="e">
        <f>AND(#REF!,"AAAAAD39vdI=")</f>
        <v>#REF!</v>
      </c>
      <c r="HD44" t="e">
        <f>AND(#REF!,"AAAAAD39vdM=")</f>
        <v>#REF!</v>
      </c>
      <c r="HE44" t="e">
        <f>AND(#REF!,"AAAAAD39vdQ=")</f>
        <v>#REF!</v>
      </c>
      <c r="HF44" t="e">
        <f>AND(#REF!,"AAAAAD39vdU=")</f>
        <v>#REF!</v>
      </c>
      <c r="HG44" t="e">
        <f>AND(#REF!,"AAAAAD39vdY=")</f>
        <v>#REF!</v>
      </c>
      <c r="HH44" t="e">
        <f>AND(#REF!,"AAAAAD39vdc=")</f>
        <v>#REF!</v>
      </c>
      <c r="HI44" t="e">
        <f>AND(#REF!,"AAAAAD39vdg=")</f>
        <v>#REF!</v>
      </c>
      <c r="HJ44" t="e">
        <f>AND(#REF!,"AAAAAD39vdk=")</f>
        <v>#REF!</v>
      </c>
      <c r="HK44" t="e">
        <f>AND(#REF!,"AAAAAD39vdo=")</f>
        <v>#REF!</v>
      </c>
      <c r="HL44" t="e">
        <f>AND(#REF!,"AAAAAD39vds=")</f>
        <v>#REF!</v>
      </c>
      <c r="HM44" t="e">
        <f>AND(#REF!,"AAAAAD39vdw=")</f>
        <v>#REF!</v>
      </c>
      <c r="HN44" t="e">
        <f>AND(#REF!,"AAAAAD39vd0=")</f>
        <v>#REF!</v>
      </c>
      <c r="HO44" t="e">
        <f>AND(#REF!,"AAAAAD39vd4=")</f>
        <v>#REF!</v>
      </c>
      <c r="HP44" t="e">
        <f>AND(#REF!,"AAAAAD39vd8=")</f>
        <v>#REF!</v>
      </c>
      <c r="HQ44" t="e">
        <f>AND(#REF!,"AAAAAD39veA=")</f>
        <v>#REF!</v>
      </c>
      <c r="HR44" t="e">
        <f>AND(#REF!,"AAAAAD39veE=")</f>
        <v>#REF!</v>
      </c>
      <c r="HS44" t="e">
        <f>AND(#REF!,"AAAAAD39veI=")</f>
        <v>#REF!</v>
      </c>
      <c r="HT44" t="e">
        <f>AND(#REF!,"AAAAAD39veM=")</f>
        <v>#REF!</v>
      </c>
      <c r="HU44" t="e">
        <f>AND(#REF!,"AAAAAD39veQ=")</f>
        <v>#REF!</v>
      </c>
      <c r="HV44" t="e">
        <f>AND(#REF!,"AAAAAD39veU=")</f>
        <v>#REF!</v>
      </c>
      <c r="HW44" t="e">
        <f>AND(#REF!,"AAAAAD39veY=")</f>
        <v>#REF!</v>
      </c>
      <c r="HX44" t="e">
        <f>AND(#REF!,"AAAAAD39vec=")</f>
        <v>#REF!</v>
      </c>
      <c r="HY44" t="e">
        <f>AND(#REF!,"AAAAAD39veg=")</f>
        <v>#REF!</v>
      </c>
      <c r="HZ44" t="e">
        <f>AND(#REF!,"AAAAAD39vek=")</f>
        <v>#REF!</v>
      </c>
      <c r="IA44" t="e">
        <f>AND(#REF!,"AAAAAD39veo=")</f>
        <v>#REF!</v>
      </c>
      <c r="IB44" t="e">
        <f>AND(#REF!,"AAAAAD39ves=")</f>
        <v>#REF!</v>
      </c>
      <c r="IC44" t="e">
        <f>AND(#REF!,"AAAAAD39vew=")</f>
        <v>#REF!</v>
      </c>
      <c r="ID44" t="e">
        <f>AND(#REF!,"AAAAAD39ve0=")</f>
        <v>#REF!</v>
      </c>
      <c r="IE44" t="e">
        <f>AND(#REF!,"AAAAAD39ve4=")</f>
        <v>#REF!</v>
      </c>
      <c r="IF44" t="e">
        <f>AND(#REF!,"AAAAAD39ve8=")</f>
        <v>#REF!</v>
      </c>
      <c r="IG44" t="e">
        <f>AND(#REF!,"AAAAAD39vfA=")</f>
        <v>#REF!</v>
      </c>
      <c r="IH44" t="e">
        <f>AND(#REF!,"AAAAAD39vfE=")</f>
        <v>#REF!</v>
      </c>
      <c r="II44" t="e">
        <f>AND(#REF!,"AAAAAD39vfI=")</f>
        <v>#REF!</v>
      </c>
      <c r="IJ44" t="e">
        <f>AND(#REF!,"AAAAAD39vfM=")</f>
        <v>#REF!</v>
      </c>
      <c r="IK44" t="e">
        <f>AND(#REF!,"AAAAAD39vfQ=")</f>
        <v>#REF!</v>
      </c>
      <c r="IL44" t="e">
        <f>AND(#REF!,"AAAAAD39vfU=")</f>
        <v>#REF!</v>
      </c>
      <c r="IM44" t="e">
        <f>AND(#REF!,"AAAAAD39vfY=")</f>
        <v>#REF!</v>
      </c>
      <c r="IN44" t="e">
        <f>AND(#REF!,"AAAAAD39vfc=")</f>
        <v>#REF!</v>
      </c>
      <c r="IO44" t="e">
        <f>AND(#REF!,"AAAAAD39vfg=")</f>
        <v>#REF!</v>
      </c>
      <c r="IP44" t="e">
        <f>IF(#REF!,"AAAAAD39vfk=",0)</f>
        <v>#REF!</v>
      </c>
      <c r="IQ44" t="e">
        <f>AND(#REF!,"AAAAAD39vfo=")</f>
        <v>#REF!</v>
      </c>
      <c r="IR44" t="e">
        <f>AND(#REF!,"AAAAAD39vfs=")</f>
        <v>#REF!</v>
      </c>
      <c r="IS44" t="e">
        <f>AND(#REF!,"AAAAAD39vfw=")</f>
        <v>#REF!</v>
      </c>
      <c r="IT44" t="e">
        <f>AND(#REF!,"AAAAAD39vf0=")</f>
        <v>#REF!</v>
      </c>
      <c r="IU44" t="e">
        <f>AND(#REF!,"AAAAAD39vf4=")</f>
        <v>#REF!</v>
      </c>
      <c r="IV44" t="e">
        <f>AND(#REF!,"AAAAAD39vf8=")</f>
        <v>#REF!</v>
      </c>
    </row>
    <row r="45" spans="1:256" x14ac:dyDescent="0.2">
      <c r="A45" t="e">
        <f>AND(#REF!,"AAAAAFm+vQA=")</f>
        <v>#REF!</v>
      </c>
      <c r="B45" t="e">
        <f>AND(#REF!,"AAAAAFm+vQE=")</f>
        <v>#REF!</v>
      </c>
      <c r="C45" t="e">
        <f>AND(#REF!,"AAAAAFm+vQI=")</f>
        <v>#REF!</v>
      </c>
      <c r="D45" t="e">
        <f>AND(#REF!,"AAAAAFm+vQM=")</f>
        <v>#REF!</v>
      </c>
      <c r="E45" t="e">
        <f>AND(#REF!,"AAAAAFm+vQQ=")</f>
        <v>#REF!</v>
      </c>
      <c r="F45" t="e">
        <f>AND(#REF!,"AAAAAFm+vQU=")</f>
        <v>#REF!</v>
      </c>
      <c r="G45" t="e">
        <f>AND(#REF!,"AAAAAFm+vQY=")</f>
        <v>#REF!</v>
      </c>
      <c r="H45" t="e">
        <f>AND(#REF!,"AAAAAFm+vQc=")</f>
        <v>#REF!</v>
      </c>
      <c r="I45" t="e">
        <f>AND(#REF!,"AAAAAFm+vQg=")</f>
        <v>#REF!</v>
      </c>
      <c r="J45" t="e">
        <f>AND(#REF!,"AAAAAFm+vQk=")</f>
        <v>#REF!</v>
      </c>
      <c r="K45" t="e">
        <f>AND(#REF!,"AAAAAFm+vQo=")</f>
        <v>#REF!</v>
      </c>
      <c r="L45" t="e">
        <f>AND(#REF!,"AAAAAFm+vQs=")</f>
        <v>#REF!</v>
      </c>
      <c r="M45" t="e">
        <f>AND(#REF!,"AAAAAFm+vQw=")</f>
        <v>#REF!</v>
      </c>
      <c r="N45" t="e">
        <f>AND(#REF!,"AAAAAFm+vQ0=")</f>
        <v>#REF!</v>
      </c>
      <c r="O45" t="e">
        <f>AND(#REF!,"AAAAAFm+vQ4=")</f>
        <v>#REF!</v>
      </c>
      <c r="P45" t="e">
        <f>AND(#REF!,"AAAAAFm+vQ8=")</f>
        <v>#REF!</v>
      </c>
      <c r="Q45" t="e">
        <f>AND(#REF!,"AAAAAFm+vRA=")</f>
        <v>#REF!</v>
      </c>
      <c r="R45" t="e">
        <f>AND(#REF!,"AAAAAFm+vRE=")</f>
        <v>#REF!</v>
      </c>
      <c r="S45" t="e">
        <f>AND(#REF!,"AAAAAFm+vRI=")</f>
        <v>#REF!</v>
      </c>
      <c r="T45" t="e">
        <f>AND(#REF!,"AAAAAFm+vRM=")</f>
        <v>#REF!</v>
      </c>
      <c r="U45" t="e">
        <f>AND(#REF!,"AAAAAFm+vRQ=")</f>
        <v>#REF!</v>
      </c>
      <c r="V45" t="e">
        <f>AND(#REF!,"AAAAAFm+vRU=")</f>
        <v>#REF!</v>
      </c>
      <c r="W45" t="e">
        <f>AND(#REF!,"AAAAAFm+vRY=")</f>
        <v>#REF!</v>
      </c>
      <c r="X45" t="e">
        <f>AND(#REF!,"AAAAAFm+vRc=")</f>
        <v>#REF!</v>
      </c>
      <c r="Y45" t="e">
        <f>AND(#REF!,"AAAAAFm+vRg=")</f>
        <v>#REF!</v>
      </c>
      <c r="Z45" t="e">
        <f>AND(#REF!,"AAAAAFm+vRk=")</f>
        <v>#REF!</v>
      </c>
      <c r="AA45" t="e">
        <f>AND(#REF!,"AAAAAFm+vRo=")</f>
        <v>#REF!</v>
      </c>
      <c r="AB45" t="e">
        <f>AND(#REF!,"AAAAAFm+vRs=")</f>
        <v>#REF!</v>
      </c>
      <c r="AC45" t="e">
        <f>AND(#REF!,"AAAAAFm+vRw=")</f>
        <v>#REF!</v>
      </c>
      <c r="AD45" t="e">
        <f>AND(#REF!,"AAAAAFm+vR0=")</f>
        <v>#REF!</v>
      </c>
      <c r="AE45" t="e">
        <f>AND(#REF!,"AAAAAFm+vR4=")</f>
        <v>#REF!</v>
      </c>
      <c r="AF45" t="e">
        <f>AND(#REF!,"AAAAAFm+vR8=")</f>
        <v>#REF!</v>
      </c>
      <c r="AG45" t="e">
        <f>AND(#REF!,"AAAAAFm+vSA=")</f>
        <v>#REF!</v>
      </c>
      <c r="AH45" t="e">
        <f>AND(#REF!,"AAAAAFm+vSE=")</f>
        <v>#REF!</v>
      </c>
      <c r="AI45" t="e">
        <f>AND(#REF!,"AAAAAFm+vSI=")</f>
        <v>#REF!</v>
      </c>
      <c r="AJ45" t="e">
        <f>AND(#REF!,"AAAAAFm+vSM=")</f>
        <v>#REF!</v>
      </c>
      <c r="AK45" t="e">
        <f>AND(#REF!,"AAAAAFm+vSQ=")</f>
        <v>#REF!</v>
      </c>
      <c r="AL45" t="e">
        <f>AND(#REF!,"AAAAAFm+vSU=")</f>
        <v>#REF!</v>
      </c>
      <c r="AM45" t="e">
        <f>AND(#REF!,"AAAAAFm+vSY=")</f>
        <v>#REF!</v>
      </c>
      <c r="AN45" t="e">
        <f>AND(#REF!,"AAAAAFm+vSc=")</f>
        <v>#REF!</v>
      </c>
      <c r="AO45" t="e">
        <f>AND(#REF!,"AAAAAFm+vSg=")</f>
        <v>#REF!</v>
      </c>
      <c r="AP45" t="e">
        <f>AND(#REF!,"AAAAAFm+vSk=")</f>
        <v>#REF!</v>
      </c>
      <c r="AQ45" t="e">
        <f>AND(#REF!,"AAAAAFm+vSo=")</f>
        <v>#REF!</v>
      </c>
      <c r="AR45" t="e">
        <f>AND(#REF!,"AAAAAFm+vSs=")</f>
        <v>#REF!</v>
      </c>
      <c r="AS45" t="e">
        <f>AND(#REF!,"AAAAAFm+vSw=")</f>
        <v>#REF!</v>
      </c>
      <c r="AT45" t="e">
        <f>AND(#REF!,"AAAAAFm+vS0=")</f>
        <v>#REF!</v>
      </c>
      <c r="AU45" t="e">
        <f>AND(#REF!,"AAAAAFm+vS4=")</f>
        <v>#REF!</v>
      </c>
      <c r="AV45" t="e">
        <f>AND(#REF!,"AAAAAFm+vS8=")</f>
        <v>#REF!</v>
      </c>
      <c r="AW45" t="e">
        <f>AND(#REF!,"AAAAAFm+vTA=")</f>
        <v>#REF!</v>
      </c>
      <c r="AX45" t="e">
        <f>AND(#REF!,"AAAAAFm+vTE=")</f>
        <v>#REF!</v>
      </c>
      <c r="AY45" t="e">
        <f>AND(#REF!,"AAAAAFm+vTI=")</f>
        <v>#REF!</v>
      </c>
      <c r="AZ45" t="e">
        <f>AND(#REF!,"AAAAAFm+vTM=")</f>
        <v>#REF!</v>
      </c>
      <c r="BA45" t="e">
        <f>AND(#REF!,"AAAAAFm+vTQ=")</f>
        <v>#REF!</v>
      </c>
      <c r="BB45" t="e">
        <f>AND(#REF!,"AAAAAFm+vTU=")</f>
        <v>#REF!</v>
      </c>
      <c r="BC45" t="e">
        <f>AND(#REF!,"AAAAAFm+vTY=")</f>
        <v>#REF!</v>
      </c>
      <c r="BD45" t="e">
        <f>AND(#REF!,"AAAAAFm+vTc=")</f>
        <v>#REF!</v>
      </c>
      <c r="BE45" t="e">
        <f>AND(#REF!,"AAAAAFm+vTg=")</f>
        <v>#REF!</v>
      </c>
      <c r="BF45" t="e">
        <f>AND(#REF!,"AAAAAFm+vTk=")</f>
        <v>#REF!</v>
      </c>
      <c r="BG45" t="e">
        <f>AND(#REF!,"AAAAAFm+vTo=")</f>
        <v>#REF!</v>
      </c>
      <c r="BH45" t="e">
        <f>AND(#REF!,"AAAAAFm+vTs=")</f>
        <v>#REF!</v>
      </c>
      <c r="BI45" t="e">
        <f>AND(#REF!,"AAAAAFm+vTw=")</f>
        <v>#REF!</v>
      </c>
      <c r="BJ45" t="e">
        <f>AND(#REF!,"AAAAAFm+vT0=")</f>
        <v>#REF!</v>
      </c>
      <c r="BK45" t="e">
        <f>AND(#REF!,"AAAAAFm+vT4=")</f>
        <v>#REF!</v>
      </c>
      <c r="BL45" t="e">
        <f>AND(#REF!,"AAAAAFm+vT8=")</f>
        <v>#REF!</v>
      </c>
      <c r="BM45" t="e">
        <f>AND(#REF!,"AAAAAFm+vUA=")</f>
        <v>#REF!</v>
      </c>
      <c r="BN45" t="e">
        <f>AND(#REF!,"AAAAAFm+vUE=")</f>
        <v>#REF!</v>
      </c>
      <c r="BO45" t="e">
        <f>AND(#REF!,"AAAAAFm+vUI=")</f>
        <v>#REF!</v>
      </c>
      <c r="BP45" t="e">
        <f>AND(#REF!,"AAAAAFm+vUM=")</f>
        <v>#REF!</v>
      </c>
      <c r="BQ45" t="e">
        <f>IF(#REF!,"AAAAAFm+vUQ=",0)</f>
        <v>#REF!</v>
      </c>
      <c r="BR45" t="e">
        <f>AND(#REF!,"AAAAAFm+vUU=")</f>
        <v>#REF!</v>
      </c>
      <c r="BS45" t="e">
        <f>AND(#REF!,"AAAAAFm+vUY=")</f>
        <v>#REF!</v>
      </c>
      <c r="BT45" t="e">
        <f>AND(#REF!,"AAAAAFm+vUc=")</f>
        <v>#REF!</v>
      </c>
      <c r="BU45" t="e">
        <f>AND(#REF!,"AAAAAFm+vUg=")</f>
        <v>#REF!</v>
      </c>
      <c r="BV45" t="e">
        <f>AND(#REF!,"AAAAAFm+vUk=")</f>
        <v>#REF!</v>
      </c>
      <c r="BW45" t="e">
        <f>AND(#REF!,"AAAAAFm+vUo=")</f>
        <v>#REF!</v>
      </c>
      <c r="BX45" t="e">
        <f>AND(#REF!,"AAAAAFm+vUs=")</f>
        <v>#REF!</v>
      </c>
      <c r="BY45" t="e">
        <f>AND(#REF!,"AAAAAFm+vUw=")</f>
        <v>#REF!</v>
      </c>
      <c r="BZ45" t="e">
        <f>AND(#REF!,"AAAAAFm+vU0=")</f>
        <v>#REF!</v>
      </c>
      <c r="CA45" t="e">
        <f>AND(#REF!,"AAAAAFm+vU4=")</f>
        <v>#REF!</v>
      </c>
      <c r="CB45" t="e">
        <f>AND(#REF!,"AAAAAFm+vU8=")</f>
        <v>#REF!</v>
      </c>
      <c r="CC45" t="e">
        <f>AND(#REF!,"AAAAAFm+vVA=")</f>
        <v>#REF!</v>
      </c>
      <c r="CD45" t="e">
        <f>AND(#REF!,"AAAAAFm+vVE=")</f>
        <v>#REF!</v>
      </c>
      <c r="CE45" t="e">
        <f>AND(#REF!,"AAAAAFm+vVI=")</f>
        <v>#REF!</v>
      </c>
      <c r="CF45" t="e">
        <f>AND(#REF!,"AAAAAFm+vVM=")</f>
        <v>#REF!</v>
      </c>
      <c r="CG45" t="e">
        <f>AND(#REF!,"AAAAAFm+vVQ=")</f>
        <v>#REF!</v>
      </c>
      <c r="CH45" t="e">
        <f>AND(#REF!,"AAAAAFm+vVU=")</f>
        <v>#REF!</v>
      </c>
      <c r="CI45" t="e">
        <f>AND(#REF!,"AAAAAFm+vVY=")</f>
        <v>#REF!</v>
      </c>
      <c r="CJ45" t="e">
        <f>AND(#REF!,"AAAAAFm+vVc=")</f>
        <v>#REF!</v>
      </c>
      <c r="CK45" t="e">
        <f>AND(#REF!,"AAAAAFm+vVg=")</f>
        <v>#REF!</v>
      </c>
      <c r="CL45" t="e">
        <f>AND(#REF!,"AAAAAFm+vVk=")</f>
        <v>#REF!</v>
      </c>
      <c r="CM45" t="e">
        <f>AND(#REF!,"AAAAAFm+vVo=")</f>
        <v>#REF!</v>
      </c>
      <c r="CN45" t="e">
        <f>AND(#REF!,"AAAAAFm+vVs=")</f>
        <v>#REF!</v>
      </c>
      <c r="CO45" t="e">
        <f>AND(#REF!,"AAAAAFm+vVw=")</f>
        <v>#REF!</v>
      </c>
      <c r="CP45" t="e">
        <f>AND(#REF!,"AAAAAFm+vV0=")</f>
        <v>#REF!</v>
      </c>
      <c r="CQ45" t="e">
        <f>AND(#REF!,"AAAAAFm+vV4=")</f>
        <v>#REF!</v>
      </c>
      <c r="CR45" t="e">
        <f>AND(#REF!,"AAAAAFm+vV8=")</f>
        <v>#REF!</v>
      </c>
      <c r="CS45" t="e">
        <f>AND(#REF!,"AAAAAFm+vWA=")</f>
        <v>#REF!</v>
      </c>
      <c r="CT45" t="e">
        <f>AND(#REF!,"AAAAAFm+vWE=")</f>
        <v>#REF!</v>
      </c>
      <c r="CU45" t="e">
        <f>AND(#REF!,"AAAAAFm+vWI=")</f>
        <v>#REF!</v>
      </c>
      <c r="CV45" t="e">
        <f>AND(#REF!,"AAAAAFm+vWM=")</f>
        <v>#REF!</v>
      </c>
      <c r="CW45" t="e">
        <f>AND(#REF!,"AAAAAFm+vWQ=")</f>
        <v>#REF!</v>
      </c>
      <c r="CX45" t="e">
        <f>AND(#REF!,"AAAAAFm+vWU=")</f>
        <v>#REF!</v>
      </c>
      <c r="CY45" t="e">
        <f>AND(#REF!,"AAAAAFm+vWY=")</f>
        <v>#REF!</v>
      </c>
      <c r="CZ45" t="e">
        <f>AND(#REF!,"AAAAAFm+vWc=")</f>
        <v>#REF!</v>
      </c>
      <c r="DA45" t="e">
        <f>AND(#REF!,"AAAAAFm+vWg=")</f>
        <v>#REF!</v>
      </c>
      <c r="DB45" t="e">
        <f>AND(#REF!,"AAAAAFm+vWk=")</f>
        <v>#REF!</v>
      </c>
      <c r="DC45" t="e">
        <f>AND(#REF!,"AAAAAFm+vWo=")</f>
        <v>#REF!</v>
      </c>
      <c r="DD45" t="e">
        <f>AND(#REF!,"AAAAAFm+vWs=")</f>
        <v>#REF!</v>
      </c>
      <c r="DE45" t="e">
        <f>AND(#REF!,"AAAAAFm+vWw=")</f>
        <v>#REF!</v>
      </c>
      <c r="DF45" t="e">
        <f>AND(#REF!,"AAAAAFm+vW0=")</f>
        <v>#REF!</v>
      </c>
      <c r="DG45" t="e">
        <f>AND(#REF!,"AAAAAFm+vW4=")</f>
        <v>#REF!</v>
      </c>
      <c r="DH45" t="e">
        <f>AND(#REF!,"AAAAAFm+vW8=")</f>
        <v>#REF!</v>
      </c>
      <c r="DI45" t="e">
        <f>AND(#REF!,"AAAAAFm+vXA=")</f>
        <v>#REF!</v>
      </c>
      <c r="DJ45" t="e">
        <f>AND(#REF!,"AAAAAFm+vXE=")</f>
        <v>#REF!</v>
      </c>
      <c r="DK45" t="e">
        <f>AND(#REF!,"AAAAAFm+vXI=")</f>
        <v>#REF!</v>
      </c>
      <c r="DL45" t="e">
        <f>AND(#REF!,"AAAAAFm+vXM=")</f>
        <v>#REF!</v>
      </c>
      <c r="DM45" t="e">
        <f>AND(#REF!,"AAAAAFm+vXQ=")</f>
        <v>#REF!</v>
      </c>
      <c r="DN45" t="e">
        <f>AND(#REF!,"AAAAAFm+vXU=")</f>
        <v>#REF!</v>
      </c>
      <c r="DO45" t="e">
        <f>AND(#REF!,"AAAAAFm+vXY=")</f>
        <v>#REF!</v>
      </c>
      <c r="DP45" t="e">
        <f>AND(#REF!,"AAAAAFm+vXc=")</f>
        <v>#REF!</v>
      </c>
      <c r="DQ45" t="e">
        <f>AND(#REF!,"AAAAAFm+vXg=")</f>
        <v>#REF!</v>
      </c>
      <c r="DR45" t="e">
        <f>AND(#REF!,"AAAAAFm+vXk=")</f>
        <v>#REF!</v>
      </c>
      <c r="DS45" t="e">
        <f>AND(#REF!,"AAAAAFm+vXo=")</f>
        <v>#REF!</v>
      </c>
      <c r="DT45" t="e">
        <f>AND(#REF!,"AAAAAFm+vXs=")</f>
        <v>#REF!</v>
      </c>
      <c r="DU45" t="e">
        <f>AND(#REF!,"AAAAAFm+vXw=")</f>
        <v>#REF!</v>
      </c>
      <c r="DV45" t="e">
        <f>AND(#REF!,"AAAAAFm+vX0=")</f>
        <v>#REF!</v>
      </c>
      <c r="DW45" t="e">
        <f>AND(#REF!,"AAAAAFm+vX4=")</f>
        <v>#REF!</v>
      </c>
      <c r="DX45" t="e">
        <f>AND(#REF!,"AAAAAFm+vX8=")</f>
        <v>#REF!</v>
      </c>
      <c r="DY45" t="e">
        <f>AND(#REF!,"AAAAAFm+vYA=")</f>
        <v>#REF!</v>
      </c>
      <c r="DZ45" t="e">
        <f>AND(#REF!,"AAAAAFm+vYE=")</f>
        <v>#REF!</v>
      </c>
      <c r="EA45" t="e">
        <f>AND(#REF!,"AAAAAFm+vYI=")</f>
        <v>#REF!</v>
      </c>
      <c r="EB45" t="e">
        <f>AND(#REF!,"AAAAAFm+vYM=")</f>
        <v>#REF!</v>
      </c>
      <c r="EC45" t="e">
        <f>AND(#REF!,"AAAAAFm+vYQ=")</f>
        <v>#REF!</v>
      </c>
      <c r="ED45" t="e">
        <f>AND(#REF!,"AAAAAFm+vYU=")</f>
        <v>#REF!</v>
      </c>
      <c r="EE45" t="e">
        <f>AND(#REF!,"AAAAAFm+vYY=")</f>
        <v>#REF!</v>
      </c>
      <c r="EF45" t="e">
        <f>AND(#REF!,"AAAAAFm+vYc=")</f>
        <v>#REF!</v>
      </c>
      <c r="EG45" t="e">
        <f>AND(#REF!,"AAAAAFm+vYg=")</f>
        <v>#REF!</v>
      </c>
      <c r="EH45" t="e">
        <f>AND(#REF!,"AAAAAFm+vYk=")</f>
        <v>#REF!</v>
      </c>
      <c r="EI45" t="e">
        <f>AND(#REF!,"AAAAAFm+vYo=")</f>
        <v>#REF!</v>
      </c>
      <c r="EJ45" t="e">
        <f>AND(#REF!,"AAAAAFm+vYs=")</f>
        <v>#REF!</v>
      </c>
      <c r="EK45" t="e">
        <f>AND(#REF!,"AAAAAFm+vYw=")</f>
        <v>#REF!</v>
      </c>
      <c r="EL45" t="e">
        <f>AND(#REF!,"AAAAAFm+vY0=")</f>
        <v>#REF!</v>
      </c>
      <c r="EM45" t="e">
        <f>AND(#REF!,"AAAAAFm+vY4=")</f>
        <v>#REF!</v>
      </c>
      <c r="EN45" t="e">
        <f>IF(#REF!,"AAAAAFm+vY8=",0)</f>
        <v>#REF!</v>
      </c>
      <c r="EO45" t="e">
        <f>AND(#REF!,"AAAAAFm+vZA=")</f>
        <v>#REF!</v>
      </c>
      <c r="EP45" t="e">
        <f>AND(#REF!,"AAAAAFm+vZE=")</f>
        <v>#REF!</v>
      </c>
      <c r="EQ45" t="e">
        <f>AND(#REF!,"AAAAAFm+vZI=")</f>
        <v>#REF!</v>
      </c>
      <c r="ER45" t="e">
        <f>AND(#REF!,"AAAAAFm+vZM=")</f>
        <v>#REF!</v>
      </c>
      <c r="ES45" t="e">
        <f>AND(#REF!,"AAAAAFm+vZQ=")</f>
        <v>#REF!</v>
      </c>
      <c r="ET45" t="e">
        <f>AND(#REF!,"AAAAAFm+vZU=")</f>
        <v>#REF!</v>
      </c>
      <c r="EU45" t="e">
        <f>AND(#REF!,"AAAAAFm+vZY=")</f>
        <v>#REF!</v>
      </c>
      <c r="EV45" t="e">
        <f>AND(#REF!,"AAAAAFm+vZc=")</f>
        <v>#REF!</v>
      </c>
      <c r="EW45" t="e">
        <f>AND(#REF!,"AAAAAFm+vZg=")</f>
        <v>#REF!</v>
      </c>
      <c r="EX45" t="e">
        <f>AND(#REF!,"AAAAAFm+vZk=")</f>
        <v>#REF!</v>
      </c>
      <c r="EY45" t="e">
        <f>AND(#REF!,"AAAAAFm+vZo=")</f>
        <v>#REF!</v>
      </c>
      <c r="EZ45" t="e">
        <f>AND(#REF!,"AAAAAFm+vZs=")</f>
        <v>#REF!</v>
      </c>
      <c r="FA45" t="e">
        <f>AND(#REF!,"AAAAAFm+vZw=")</f>
        <v>#REF!</v>
      </c>
      <c r="FB45" t="e">
        <f>AND(#REF!,"AAAAAFm+vZ0=")</f>
        <v>#REF!</v>
      </c>
      <c r="FC45" t="e">
        <f>AND(#REF!,"AAAAAFm+vZ4=")</f>
        <v>#REF!</v>
      </c>
      <c r="FD45" t="e">
        <f>AND(#REF!,"AAAAAFm+vZ8=")</f>
        <v>#REF!</v>
      </c>
      <c r="FE45" t="e">
        <f>AND(#REF!,"AAAAAFm+vaA=")</f>
        <v>#REF!</v>
      </c>
      <c r="FF45" t="e">
        <f>AND(#REF!,"AAAAAFm+vaE=")</f>
        <v>#REF!</v>
      </c>
      <c r="FG45" t="e">
        <f>AND(#REF!,"AAAAAFm+vaI=")</f>
        <v>#REF!</v>
      </c>
      <c r="FH45" t="e">
        <f>AND(#REF!,"AAAAAFm+vaM=")</f>
        <v>#REF!</v>
      </c>
      <c r="FI45" t="e">
        <f>AND(#REF!,"AAAAAFm+vaQ=")</f>
        <v>#REF!</v>
      </c>
      <c r="FJ45" t="e">
        <f>AND(#REF!,"AAAAAFm+vaU=")</f>
        <v>#REF!</v>
      </c>
      <c r="FK45" t="e">
        <f>AND(#REF!,"AAAAAFm+vaY=")</f>
        <v>#REF!</v>
      </c>
      <c r="FL45" t="e">
        <f>AND(#REF!,"AAAAAFm+vac=")</f>
        <v>#REF!</v>
      </c>
      <c r="FM45" t="e">
        <f>AND(#REF!,"AAAAAFm+vag=")</f>
        <v>#REF!</v>
      </c>
      <c r="FN45" t="e">
        <f>AND(#REF!,"AAAAAFm+vak=")</f>
        <v>#REF!</v>
      </c>
      <c r="FO45" t="e">
        <f>AND(#REF!,"AAAAAFm+vao=")</f>
        <v>#REF!</v>
      </c>
      <c r="FP45" t="e">
        <f>AND(#REF!,"AAAAAFm+vas=")</f>
        <v>#REF!</v>
      </c>
      <c r="FQ45" t="e">
        <f>AND(#REF!,"AAAAAFm+vaw=")</f>
        <v>#REF!</v>
      </c>
      <c r="FR45" t="e">
        <f>AND(#REF!,"AAAAAFm+va0=")</f>
        <v>#REF!</v>
      </c>
      <c r="FS45" t="e">
        <f>AND(#REF!,"AAAAAFm+va4=")</f>
        <v>#REF!</v>
      </c>
      <c r="FT45" t="e">
        <f>AND(#REF!,"AAAAAFm+va8=")</f>
        <v>#REF!</v>
      </c>
      <c r="FU45" t="e">
        <f>AND(#REF!,"AAAAAFm+vbA=")</f>
        <v>#REF!</v>
      </c>
      <c r="FV45" t="e">
        <f>AND(#REF!,"AAAAAFm+vbE=")</f>
        <v>#REF!</v>
      </c>
      <c r="FW45" t="e">
        <f>AND(#REF!,"AAAAAFm+vbI=")</f>
        <v>#REF!</v>
      </c>
      <c r="FX45" t="e">
        <f>AND(#REF!,"AAAAAFm+vbM=")</f>
        <v>#REF!</v>
      </c>
      <c r="FY45" t="e">
        <f>AND(#REF!,"AAAAAFm+vbQ=")</f>
        <v>#REF!</v>
      </c>
      <c r="FZ45" t="e">
        <f>AND(#REF!,"AAAAAFm+vbU=")</f>
        <v>#REF!</v>
      </c>
      <c r="GA45" t="e">
        <f>AND(#REF!,"AAAAAFm+vbY=")</f>
        <v>#REF!</v>
      </c>
      <c r="GB45" t="e">
        <f>AND(#REF!,"AAAAAFm+vbc=")</f>
        <v>#REF!</v>
      </c>
      <c r="GC45" t="e">
        <f>AND(#REF!,"AAAAAFm+vbg=")</f>
        <v>#REF!</v>
      </c>
      <c r="GD45" t="e">
        <f>AND(#REF!,"AAAAAFm+vbk=")</f>
        <v>#REF!</v>
      </c>
      <c r="GE45" t="e">
        <f>AND(#REF!,"AAAAAFm+vbo=")</f>
        <v>#REF!</v>
      </c>
      <c r="GF45" t="e">
        <f>AND(#REF!,"AAAAAFm+vbs=")</f>
        <v>#REF!</v>
      </c>
      <c r="GG45" t="e">
        <f>AND(#REF!,"AAAAAFm+vbw=")</f>
        <v>#REF!</v>
      </c>
      <c r="GH45" t="e">
        <f>AND(#REF!,"AAAAAFm+vb0=")</f>
        <v>#REF!</v>
      </c>
      <c r="GI45" t="e">
        <f>AND(#REF!,"AAAAAFm+vb4=")</f>
        <v>#REF!</v>
      </c>
      <c r="GJ45" t="e">
        <f>AND(#REF!,"AAAAAFm+vb8=")</f>
        <v>#REF!</v>
      </c>
      <c r="GK45" t="e">
        <f>AND(#REF!,"AAAAAFm+vcA=")</f>
        <v>#REF!</v>
      </c>
      <c r="GL45" t="e">
        <f>AND(#REF!,"AAAAAFm+vcE=")</f>
        <v>#REF!</v>
      </c>
      <c r="GM45" t="e">
        <f>AND(#REF!,"AAAAAFm+vcI=")</f>
        <v>#REF!</v>
      </c>
      <c r="GN45" t="e">
        <f>AND(#REF!,"AAAAAFm+vcM=")</f>
        <v>#REF!</v>
      </c>
      <c r="GO45" t="e">
        <f>AND(#REF!,"AAAAAFm+vcQ=")</f>
        <v>#REF!</v>
      </c>
      <c r="GP45" t="e">
        <f>AND(#REF!,"AAAAAFm+vcU=")</f>
        <v>#REF!</v>
      </c>
      <c r="GQ45" t="e">
        <f>AND(#REF!,"AAAAAFm+vcY=")</f>
        <v>#REF!</v>
      </c>
      <c r="GR45" t="e">
        <f>AND(#REF!,"AAAAAFm+vcc=")</f>
        <v>#REF!</v>
      </c>
      <c r="GS45" t="e">
        <f>AND(#REF!,"AAAAAFm+vcg=")</f>
        <v>#REF!</v>
      </c>
      <c r="GT45" t="e">
        <f>AND(#REF!,"AAAAAFm+vck=")</f>
        <v>#REF!</v>
      </c>
      <c r="GU45" t="e">
        <f>AND(#REF!,"AAAAAFm+vco=")</f>
        <v>#REF!</v>
      </c>
      <c r="GV45" t="e">
        <f>AND(#REF!,"AAAAAFm+vcs=")</f>
        <v>#REF!</v>
      </c>
      <c r="GW45" t="e">
        <f>AND(#REF!,"AAAAAFm+vcw=")</f>
        <v>#REF!</v>
      </c>
      <c r="GX45" t="e">
        <f>AND(#REF!,"AAAAAFm+vc0=")</f>
        <v>#REF!</v>
      </c>
      <c r="GY45" t="e">
        <f>AND(#REF!,"AAAAAFm+vc4=")</f>
        <v>#REF!</v>
      </c>
      <c r="GZ45" t="e">
        <f>AND(#REF!,"AAAAAFm+vc8=")</f>
        <v>#REF!</v>
      </c>
      <c r="HA45" t="e">
        <f>AND(#REF!,"AAAAAFm+vdA=")</f>
        <v>#REF!</v>
      </c>
      <c r="HB45" t="e">
        <f>AND(#REF!,"AAAAAFm+vdE=")</f>
        <v>#REF!</v>
      </c>
      <c r="HC45" t="e">
        <f>AND(#REF!,"AAAAAFm+vdI=")</f>
        <v>#REF!</v>
      </c>
      <c r="HD45" t="e">
        <f>AND(#REF!,"AAAAAFm+vdM=")</f>
        <v>#REF!</v>
      </c>
      <c r="HE45" t="e">
        <f>AND(#REF!,"AAAAAFm+vdQ=")</f>
        <v>#REF!</v>
      </c>
      <c r="HF45" t="e">
        <f>AND(#REF!,"AAAAAFm+vdU=")</f>
        <v>#REF!</v>
      </c>
      <c r="HG45" t="e">
        <f>AND(#REF!,"AAAAAFm+vdY=")</f>
        <v>#REF!</v>
      </c>
      <c r="HH45" t="e">
        <f>AND(#REF!,"AAAAAFm+vdc=")</f>
        <v>#REF!</v>
      </c>
      <c r="HI45" t="e">
        <f>AND(#REF!,"AAAAAFm+vdg=")</f>
        <v>#REF!</v>
      </c>
      <c r="HJ45" t="e">
        <f>AND(#REF!,"AAAAAFm+vdk=")</f>
        <v>#REF!</v>
      </c>
      <c r="HK45" t="e">
        <f>IF(#REF!,"AAAAAFm+vdo=",0)</f>
        <v>#REF!</v>
      </c>
      <c r="HL45" t="e">
        <f>AND(#REF!,"AAAAAFm+vds=")</f>
        <v>#REF!</v>
      </c>
      <c r="HM45" t="e">
        <f>AND(#REF!,"AAAAAFm+vdw=")</f>
        <v>#REF!</v>
      </c>
      <c r="HN45" t="e">
        <f>AND(#REF!,"AAAAAFm+vd0=")</f>
        <v>#REF!</v>
      </c>
      <c r="HO45" t="e">
        <f>AND(#REF!,"AAAAAFm+vd4=")</f>
        <v>#REF!</v>
      </c>
      <c r="HP45" t="e">
        <f>AND(#REF!,"AAAAAFm+vd8=")</f>
        <v>#REF!</v>
      </c>
      <c r="HQ45" t="e">
        <f>AND(#REF!,"AAAAAFm+veA=")</f>
        <v>#REF!</v>
      </c>
      <c r="HR45" t="e">
        <f>AND(#REF!,"AAAAAFm+veE=")</f>
        <v>#REF!</v>
      </c>
      <c r="HS45" t="e">
        <f>AND(#REF!,"AAAAAFm+veI=")</f>
        <v>#REF!</v>
      </c>
      <c r="HT45" t="e">
        <f>AND(#REF!,"AAAAAFm+veM=")</f>
        <v>#REF!</v>
      </c>
      <c r="HU45" t="e">
        <f>AND(#REF!,"AAAAAFm+veQ=")</f>
        <v>#REF!</v>
      </c>
      <c r="HV45" t="e">
        <f>AND(#REF!,"AAAAAFm+veU=")</f>
        <v>#REF!</v>
      </c>
      <c r="HW45" t="e">
        <f>AND(#REF!,"AAAAAFm+veY=")</f>
        <v>#REF!</v>
      </c>
      <c r="HX45" t="e">
        <f>AND(#REF!,"AAAAAFm+vec=")</f>
        <v>#REF!</v>
      </c>
      <c r="HY45" t="e">
        <f>AND(#REF!,"AAAAAFm+veg=")</f>
        <v>#REF!</v>
      </c>
      <c r="HZ45" t="e">
        <f>AND(#REF!,"AAAAAFm+vek=")</f>
        <v>#REF!</v>
      </c>
      <c r="IA45" t="e">
        <f>AND(#REF!,"AAAAAFm+veo=")</f>
        <v>#REF!</v>
      </c>
      <c r="IB45" t="e">
        <f>AND(#REF!,"AAAAAFm+ves=")</f>
        <v>#REF!</v>
      </c>
      <c r="IC45" t="e">
        <f>AND(#REF!,"AAAAAFm+vew=")</f>
        <v>#REF!</v>
      </c>
      <c r="ID45" t="e">
        <f>AND(#REF!,"AAAAAFm+ve0=")</f>
        <v>#REF!</v>
      </c>
      <c r="IE45" t="e">
        <f>AND(#REF!,"AAAAAFm+ve4=")</f>
        <v>#REF!</v>
      </c>
      <c r="IF45" t="e">
        <f>AND(#REF!,"AAAAAFm+ve8=")</f>
        <v>#REF!</v>
      </c>
      <c r="IG45" t="e">
        <f>AND(#REF!,"AAAAAFm+vfA=")</f>
        <v>#REF!</v>
      </c>
      <c r="IH45" t="e">
        <f>AND(#REF!,"AAAAAFm+vfE=")</f>
        <v>#REF!</v>
      </c>
      <c r="II45" t="e">
        <f>AND(#REF!,"AAAAAFm+vfI=")</f>
        <v>#REF!</v>
      </c>
      <c r="IJ45" t="e">
        <f>AND(#REF!,"AAAAAFm+vfM=")</f>
        <v>#REF!</v>
      </c>
      <c r="IK45" t="e">
        <f>AND(#REF!,"AAAAAFm+vfQ=")</f>
        <v>#REF!</v>
      </c>
      <c r="IL45" t="e">
        <f>AND(#REF!,"AAAAAFm+vfU=")</f>
        <v>#REF!</v>
      </c>
      <c r="IM45" t="e">
        <f>AND(#REF!,"AAAAAFm+vfY=")</f>
        <v>#REF!</v>
      </c>
      <c r="IN45" t="e">
        <f>AND(#REF!,"AAAAAFm+vfc=")</f>
        <v>#REF!</v>
      </c>
      <c r="IO45" t="e">
        <f>AND(#REF!,"AAAAAFm+vfg=")</f>
        <v>#REF!</v>
      </c>
      <c r="IP45" t="e">
        <f>AND(#REF!,"AAAAAFm+vfk=")</f>
        <v>#REF!</v>
      </c>
      <c r="IQ45" t="e">
        <f>AND(#REF!,"AAAAAFm+vfo=")</f>
        <v>#REF!</v>
      </c>
      <c r="IR45" t="e">
        <f>AND(#REF!,"AAAAAFm+vfs=")</f>
        <v>#REF!</v>
      </c>
      <c r="IS45" t="e">
        <f>AND(#REF!,"AAAAAFm+vfw=")</f>
        <v>#REF!</v>
      </c>
      <c r="IT45" t="e">
        <f>AND(#REF!,"AAAAAFm+vf0=")</f>
        <v>#REF!</v>
      </c>
      <c r="IU45" t="e">
        <f>AND(#REF!,"AAAAAFm+vf4=")</f>
        <v>#REF!</v>
      </c>
      <c r="IV45" t="e">
        <f>AND(#REF!,"AAAAAFm+vf8=")</f>
        <v>#REF!</v>
      </c>
    </row>
    <row r="46" spans="1:256" x14ac:dyDescent="0.2">
      <c r="A46" t="e">
        <f>AND(#REF!,"AAAAAE/6YwA=")</f>
        <v>#REF!</v>
      </c>
      <c r="B46" t="e">
        <f>AND(#REF!,"AAAAAE/6YwE=")</f>
        <v>#REF!</v>
      </c>
      <c r="C46" t="e">
        <f>AND(#REF!,"AAAAAE/6YwI=")</f>
        <v>#REF!</v>
      </c>
      <c r="D46" t="e">
        <f>AND(#REF!,"AAAAAE/6YwM=")</f>
        <v>#REF!</v>
      </c>
      <c r="E46" t="e">
        <f>AND(#REF!,"AAAAAE/6YwQ=")</f>
        <v>#REF!</v>
      </c>
      <c r="F46" t="e">
        <f>AND(#REF!,"AAAAAE/6YwU=")</f>
        <v>#REF!</v>
      </c>
      <c r="G46" t="e">
        <f>AND(#REF!,"AAAAAE/6YwY=")</f>
        <v>#REF!</v>
      </c>
      <c r="H46" t="e">
        <f>AND(#REF!,"AAAAAE/6Ywc=")</f>
        <v>#REF!</v>
      </c>
      <c r="I46" t="e">
        <f>AND(#REF!,"AAAAAE/6Ywg=")</f>
        <v>#REF!</v>
      </c>
      <c r="J46" t="e">
        <f>AND(#REF!,"AAAAAE/6Ywk=")</f>
        <v>#REF!</v>
      </c>
      <c r="K46" t="e">
        <f>AND(#REF!,"AAAAAE/6Ywo=")</f>
        <v>#REF!</v>
      </c>
      <c r="L46" t="e">
        <f>AND(#REF!,"AAAAAE/6Yws=")</f>
        <v>#REF!</v>
      </c>
      <c r="M46" t="e">
        <f>AND(#REF!,"AAAAAE/6Yww=")</f>
        <v>#REF!</v>
      </c>
      <c r="N46" t="e">
        <f>AND(#REF!,"AAAAAE/6Yw0=")</f>
        <v>#REF!</v>
      </c>
      <c r="O46" t="e">
        <f>AND(#REF!,"AAAAAE/6Yw4=")</f>
        <v>#REF!</v>
      </c>
      <c r="P46" t="e">
        <f>AND(#REF!,"AAAAAE/6Yw8=")</f>
        <v>#REF!</v>
      </c>
      <c r="Q46" t="e">
        <f>AND(#REF!,"AAAAAE/6YxA=")</f>
        <v>#REF!</v>
      </c>
      <c r="R46" t="e">
        <f>AND(#REF!,"AAAAAE/6YxE=")</f>
        <v>#REF!</v>
      </c>
      <c r="S46" t="e">
        <f>AND(#REF!,"AAAAAE/6YxI=")</f>
        <v>#REF!</v>
      </c>
      <c r="T46" t="e">
        <f>AND(#REF!,"AAAAAE/6YxM=")</f>
        <v>#REF!</v>
      </c>
      <c r="U46" t="e">
        <f>AND(#REF!,"AAAAAE/6YxQ=")</f>
        <v>#REF!</v>
      </c>
      <c r="V46" t="e">
        <f>AND(#REF!,"AAAAAE/6YxU=")</f>
        <v>#REF!</v>
      </c>
      <c r="W46" t="e">
        <f>AND(#REF!,"AAAAAE/6YxY=")</f>
        <v>#REF!</v>
      </c>
      <c r="X46" t="e">
        <f>AND(#REF!,"AAAAAE/6Yxc=")</f>
        <v>#REF!</v>
      </c>
      <c r="Y46" t="e">
        <f>AND(#REF!,"AAAAAE/6Yxg=")</f>
        <v>#REF!</v>
      </c>
      <c r="Z46" t="e">
        <f>AND(#REF!,"AAAAAE/6Yxk=")</f>
        <v>#REF!</v>
      </c>
      <c r="AA46" t="e">
        <f>AND(#REF!,"AAAAAE/6Yxo=")</f>
        <v>#REF!</v>
      </c>
      <c r="AB46" t="e">
        <f>AND(#REF!,"AAAAAE/6Yxs=")</f>
        <v>#REF!</v>
      </c>
      <c r="AC46" t="e">
        <f>AND(#REF!,"AAAAAE/6Yxw=")</f>
        <v>#REF!</v>
      </c>
      <c r="AD46" t="e">
        <f>AND(#REF!,"AAAAAE/6Yx0=")</f>
        <v>#REF!</v>
      </c>
      <c r="AE46" t="e">
        <f>AND(#REF!,"AAAAAE/6Yx4=")</f>
        <v>#REF!</v>
      </c>
      <c r="AF46" t="e">
        <f>AND(#REF!,"AAAAAE/6Yx8=")</f>
        <v>#REF!</v>
      </c>
      <c r="AG46" t="e">
        <f>AND(#REF!,"AAAAAE/6YyA=")</f>
        <v>#REF!</v>
      </c>
      <c r="AH46" t="e">
        <f>AND(#REF!,"AAAAAE/6YyE=")</f>
        <v>#REF!</v>
      </c>
      <c r="AI46" t="e">
        <f>AND(#REF!,"AAAAAE/6YyI=")</f>
        <v>#REF!</v>
      </c>
      <c r="AJ46" t="e">
        <f>AND(#REF!,"AAAAAE/6YyM=")</f>
        <v>#REF!</v>
      </c>
      <c r="AK46" t="e">
        <f>AND(#REF!,"AAAAAE/6YyQ=")</f>
        <v>#REF!</v>
      </c>
      <c r="AL46" t="e">
        <f>IF(#REF!,"AAAAAE/6YyU=",0)</f>
        <v>#REF!</v>
      </c>
      <c r="AM46" t="e">
        <f>AND(#REF!,"AAAAAE/6YyY=")</f>
        <v>#REF!</v>
      </c>
      <c r="AN46" t="e">
        <f>AND(#REF!,"AAAAAE/6Yyc=")</f>
        <v>#REF!</v>
      </c>
      <c r="AO46" t="e">
        <f>AND(#REF!,"AAAAAE/6Yyg=")</f>
        <v>#REF!</v>
      </c>
      <c r="AP46" t="e">
        <f>AND(#REF!,"AAAAAE/6Yyk=")</f>
        <v>#REF!</v>
      </c>
      <c r="AQ46" t="e">
        <f>AND(#REF!,"AAAAAE/6Yyo=")</f>
        <v>#REF!</v>
      </c>
      <c r="AR46" t="e">
        <f>AND(#REF!,"AAAAAE/6Yys=")</f>
        <v>#REF!</v>
      </c>
      <c r="AS46" t="e">
        <f>AND(#REF!,"AAAAAE/6Yyw=")</f>
        <v>#REF!</v>
      </c>
      <c r="AT46" t="e">
        <f>AND(#REF!,"AAAAAE/6Yy0=")</f>
        <v>#REF!</v>
      </c>
      <c r="AU46" t="e">
        <f>AND(#REF!,"AAAAAE/6Yy4=")</f>
        <v>#REF!</v>
      </c>
      <c r="AV46" t="e">
        <f>AND(#REF!,"AAAAAE/6Yy8=")</f>
        <v>#REF!</v>
      </c>
      <c r="AW46" t="e">
        <f>AND(#REF!,"AAAAAE/6YzA=")</f>
        <v>#REF!</v>
      </c>
      <c r="AX46" t="e">
        <f>AND(#REF!,"AAAAAE/6YzE=")</f>
        <v>#REF!</v>
      </c>
      <c r="AY46" t="e">
        <f>AND(#REF!,"AAAAAE/6YzI=")</f>
        <v>#REF!</v>
      </c>
      <c r="AZ46" t="e">
        <f>AND(#REF!,"AAAAAE/6YzM=")</f>
        <v>#REF!</v>
      </c>
      <c r="BA46" t="e">
        <f>AND(#REF!,"AAAAAE/6YzQ=")</f>
        <v>#REF!</v>
      </c>
      <c r="BB46" t="e">
        <f>AND(#REF!,"AAAAAE/6YzU=")</f>
        <v>#REF!</v>
      </c>
      <c r="BC46" t="e">
        <f>AND(#REF!,"AAAAAE/6YzY=")</f>
        <v>#REF!</v>
      </c>
      <c r="BD46" t="e">
        <f>AND(#REF!,"AAAAAE/6Yzc=")</f>
        <v>#REF!</v>
      </c>
      <c r="BE46" t="e">
        <f>AND(#REF!,"AAAAAE/6Yzg=")</f>
        <v>#REF!</v>
      </c>
      <c r="BF46" t="e">
        <f>AND(#REF!,"AAAAAE/6Yzk=")</f>
        <v>#REF!</v>
      </c>
      <c r="BG46" t="e">
        <f>AND(#REF!,"AAAAAE/6Yzo=")</f>
        <v>#REF!</v>
      </c>
      <c r="BH46" t="e">
        <f>AND(#REF!,"AAAAAE/6Yzs=")</f>
        <v>#REF!</v>
      </c>
      <c r="BI46" t="e">
        <f>AND(#REF!,"AAAAAE/6Yzw=")</f>
        <v>#REF!</v>
      </c>
      <c r="BJ46" t="e">
        <f>AND(#REF!,"AAAAAE/6Yz0=")</f>
        <v>#REF!</v>
      </c>
      <c r="BK46" t="e">
        <f>AND(#REF!,"AAAAAE/6Yz4=")</f>
        <v>#REF!</v>
      </c>
      <c r="BL46" t="e">
        <f>AND(#REF!,"AAAAAE/6Yz8=")</f>
        <v>#REF!</v>
      </c>
      <c r="BM46" t="e">
        <f>AND(#REF!,"AAAAAE/6Y0A=")</f>
        <v>#REF!</v>
      </c>
      <c r="BN46" t="e">
        <f>AND(#REF!,"AAAAAE/6Y0E=")</f>
        <v>#REF!</v>
      </c>
      <c r="BO46" t="e">
        <f>AND(#REF!,"AAAAAE/6Y0I=")</f>
        <v>#REF!</v>
      </c>
      <c r="BP46" t="e">
        <f>AND(#REF!,"AAAAAE/6Y0M=")</f>
        <v>#REF!</v>
      </c>
      <c r="BQ46" t="e">
        <f>AND(#REF!,"AAAAAE/6Y0Q=")</f>
        <v>#REF!</v>
      </c>
      <c r="BR46" t="e">
        <f>AND(#REF!,"AAAAAE/6Y0U=")</f>
        <v>#REF!</v>
      </c>
      <c r="BS46" t="e">
        <f>AND(#REF!,"AAAAAE/6Y0Y=")</f>
        <v>#REF!</v>
      </c>
      <c r="BT46" t="e">
        <f>AND(#REF!,"AAAAAE/6Y0c=")</f>
        <v>#REF!</v>
      </c>
      <c r="BU46" t="e">
        <f>AND(#REF!,"AAAAAE/6Y0g=")</f>
        <v>#REF!</v>
      </c>
      <c r="BV46" t="e">
        <f>AND(#REF!,"AAAAAE/6Y0k=")</f>
        <v>#REF!</v>
      </c>
      <c r="BW46" t="e">
        <f>AND(#REF!,"AAAAAE/6Y0o=")</f>
        <v>#REF!</v>
      </c>
      <c r="BX46" t="e">
        <f>AND(#REF!,"AAAAAE/6Y0s=")</f>
        <v>#REF!</v>
      </c>
      <c r="BY46" t="e">
        <f>AND(#REF!,"AAAAAE/6Y0w=")</f>
        <v>#REF!</v>
      </c>
      <c r="BZ46" t="e">
        <f>AND(#REF!,"AAAAAE/6Y00=")</f>
        <v>#REF!</v>
      </c>
      <c r="CA46" t="e">
        <f>AND(#REF!,"AAAAAE/6Y04=")</f>
        <v>#REF!</v>
      </c>
      <c r="CB46" t="e">
        <f>AND(#REF!,"AAAAAE/6Y08=")</f>
        <v>#REF!</v>
      </c>
      <c r="CC46" t="e">
        <f>AND(#REF!,"AAAAAE/6Y1A=")</f>
        <v>#REF!</v>
      </c>
      <c r="CD46" t="e">
        <f>AND(#REF!,"AAAAAE/6Y1E=")</f>
        <v>#REF!</v>
      </c>
      <c r="CE46" t="e">
        <f>AND(#REF!,"AAAAAE/6Y1I=")</f>
        <v>#REF!</v>
      </c>
      <c r="CF46" t="e">
        <f>AND(#REF!,"AAAAAE/6Y1M=")</f>
        <v>#REF!</v>
      </c>
      <c r="CG46" t="e">
        <f>AND(#REF!,"AAAAAE/6Y1Q=")</f>
        <v>#REF!</v>
      </c>
      <c r="CH46" t="e">
        <f>AND(#REF!,"AAAAAE/6Y1U=")</f>
        <v>#REF!</v>
      </c>
      <c r="CI46" t="e">
        <f>AND(#REF!,"AAAAAE/6Y1Y=")</f>
        <v>#REF!</v>
      </c>
      <c r="CJ46" t="e">
        <f>AND(#REF!,"AAAAAE/6Y1c=")</f>
        <v>#REF!</v>
      </c>
      <c r="CK46" t="e">
        <f>AND(#REF!,"AAAAAE/6Y1g=")</f>
        <v>#REF!</v>
      </c>
      <c r="CL46" t="e">
        <f>AND(#REF!,"AAAAAE/6Y1k=")</f>
        <v>#REF!</v>
      </c>
      <c r="CM46" t="e">
        <f>AND(#REF!,"AAAAAE/6Y1o=")</f>
        <v>#REF!</v>
      </c>
      <c r="CN46" t="e">
        <f>AND(#REF!,"AAAAAE/6Y1s=")</f>
        <v>#REF!</v>
      </c>
      <c r="CO46" t="e">
        <f>AND(#REF!,"AAAAAE/6Y1w=")</f>
        <v>#REF!</v>
      </c>
      <c r="CP46" t="e">
        <f>AND(#REF!,"AAAAAE/6Y10=")</f>
        <v>#REF!</v>
      </c>
      <c r="CQ46" t="e">
        <f>AND(#REF!,"AAAAAE/6Y14=")</f>
        <v>#REF!</v>
      </c>
      <c r="CR46" t="e">
        <f>AND(#REF!,"AAAAAE/6Y18=")</f>
        <v>#REF!</v>
      </c>
      <c r="CS46" t="e">
        <f>AND(#REF!,"AAAAAE/6Y2A=")</f>
        <v>#REF!</v>
      </c>
      <c r="CT46" t="e">
        <f>AND(#REF!,"AAAAAE/6Y2E=")</f>
        <v>#REF!</v>
      </c>
      <c r="CU46" t="e">
        <f>AND(#REF!,"AAAAAE/6Y2I=")</f>
        <v>#REF!</v>
      </c>
      <c r="CV46" t="e">
        <f>AND(#REF!,"AAAAAE/6Y2M=")</f>
        <v>#REF!</v>
      </c>
      <c r="CW46" t="e">
        <f>AND(#REF!,"AAAAAE/6Y2Q=")</f>
        <v>#REF!</v>
      </c>
      <c r="CX46" t="e">
        <f>AND(#REF!,"AAAAAE/6Y2U=")</f>
        <v>#REF!</v>
      </c>
      <c r="CY46" t="e">
        <f>AND(#REF!,"AAAAAE/6Y2Y=")</f>
        <v>#REF!</v>
      </c>
      <c r="CZ46" t="e">
        <f>AND(#REF!,"AAAAAE/6Y2c=")</f>
        <v>#REF!</v>
      </c>
      <c r="DA46" t="e">
        <f>AND(#REF!,"AAAAAE/6Y2g=")</f>
        <v>#REF!</v>
      </c>
      <c r="DB46" t="e">
        <f>AND(#REF!,"AAAAAE/6Y2k=")</f>
        <v>#REF!</v>
      </c>
      <c r="DC46" t="e">
        <f>AND(#REF!,"AAAAAE/6Y2o=")</f>
        <v>#REF!</v>
      </c>
      <c r="DD46" t="e">
        <f>AND(#REF!,"AAAAAE/6Y2s=")</f>
        <v>#REF!</v>
      </c>
      <c r="DE46" t="e">
        <f>AND(#REF!,"AAAAAE/6Y2w=")</f>
        <v>#REF!</v>
      </c>
      <c r="DF46" t="e">
        <f>AND(#REF!,"AAAAAE/6Y20=")</f>
        <v>#REF!</v>
      </c>
      <c r="DG46" t="e">
        <f>AND(#REF!,"AAAAAE/6Y24=")</f>
        <v>#REF!</v>
      </c>
      <c r="DH46" t="e">
        <f>AND(#REF!,"AAAAAE/6Y28=")</f>
        <v>#REF!</v>
      </c>
      <c r="DI46" t="e">
        <f>IF(#REF!,"AAAAAE/6Y3A=",0)</f>
        <v>#REF!</v>
      </c>
      <c r="DJ46" t="e">
        <f>AND(#REF!,"AAAAAE/6Y3E=")</f>
        <v>#REF!</v>
      </c>
      <c r="DK46" t="e">
        <f>AND(#REF!,"AAAAAE/6Y3I=")</f>
        <v>#REF!</v>
      </c>
      <c r="DL46" t="e">
        <f>AND(#REF!,"AAAAAE/6Y3M=")</f>
        <v>#REF!</v>
      </c>
      <c r="DM46" t="e">
        <f>AND(#REF!,"AAAAAE/6Y3Q=")</f>
        <v>#REF!</v>
      </c>
      <c r="DN46" t="e">
        <f>AND(#REF!,"AAAAAE/6Y3U=")</f>
        <v>#REF!</v>
      </c>
      <c r="DO46" t="e">
        <f>AND(#REF!,"AAAAAE/6Y3Y=")</f>
        <v>#REF!</v>
      </c>
      <c r="DP46" t="e">
        <f>AND(#REF!,"AAAAAE/6Y3c=")</f>
        <v>#REF!</v>
      </c>
      <c r="DQ46" t="e">
        <f>AND(#REF!,"AAAAAE/6Y3g=")</f>
        <v>#REF!</v>
      </c>
      <c r="DR46" t="e">
        <f>AND(#REF!,"AAAAAE/6Y3k=")</f>
        <v>#REF!</v>
      </c>
      <c r="DS46" t="e">
        <f>AND(#REF!,"AAAAAE/6Y3o=")</f>
        <v>#REF!</v>
      </c>
      <c r="DT46" t="e">
        <f>AND(#REF!,"AAAAAE/6Y3s=")</f>
        <v>#REF!</v>
      </c>
      <c r="DU46" t="e">
        <f>AND(#REF!,"AAAAAE/6Y3w=")</f>
        <v>#REF!</v>
      </c>
      <c r="DV46" t="e">
        <f>AND(#REF!,"AAAAAE/6Y30=")</f>
        <v>#REF!</v>
      </c>
      <c r="DW46" t="e">
        <f>AND(#REF!,"AAAAAE/6Y34=")</f>
        <v>#REF!</v>
      </c>
      <c r="DX46" t="e">
        <f>AND(#REF!,"AAAAAE/6Y38=")</f>
        <v>#REF!</v>
      </c>
      <c r="DY46" t="e">
        <f>AND(#REF!,"AAAAAE/6Y4A=")</f>
        <v>#REF!</v>
      </c>
      <c r="DZ46" t="e">
        <f>AND(#REF!,"AAAAAE/6Y4E=")</f>
        <v>#REF!</v>
      </c>
      <c r="EA46" t="e">
        <f>AND(#REF!,"AAAAAE/6Y4I=")</f>
        <v>#REF!</v>
      </c>
      <c r="EB46" t="e">
        <f>AND(#REF!,"AAAAAE/6Y4M=")</f>
        <v>#REF!</v>
      </c>
      <c r="EC46" t="e">
        <f>AND(#REF!,"AAAAAE/6Y4Q=")</f>
        <v>#REF!</v>
      </c>
      <c r="ED46" t="e">
        <f>AND(#REF!,"AAAAAE/6Y4U=")</f>
        <v>#REF!</v>
      </c>
      <c r="EE46" t="e">
        <f>AND(#REF!,"AAAAAE/6Y4Y=")</f>
        <v>#REF!</v>
      </c>
      <c r="EF46" t="e">
        <f>AND(#REF!,"AAAAAE/6Y4c=")</f>
        <v>#REF!</v>
      </c>
      <c r="EG46" t="e">
        <f>AND(#REF!,"AAAAAE/6Y4g=")</f>
        <v>#REF!</v>
      </c>
      <c r="EH46" t="e">
        <f>AND(#REF!,"AAAAAE/6Y4k=")</f>
        <v>#REF!</v>
      </c>
      <c r="EI46" t="e">
        <f>AND(#REF!,"AAAAAE/6Y4o=")</f>
        <v>#REF!</v>
      </c>
      <c r="EJ46" t="e">
        <f>AND(#REF!,"AAAAAE/6Y4s=")</f>
        <v>#REF!</v>
      </c>
      <c r="EK46" t="e">
        <f>AND(#REF!,"AAAAAE/6Y4w=")</f>
        <v>#REF!</v>
      </c>
      <c r="EL46" t="e">
        <f>AND(#REF!,"AAAAAE/6Y40=")</f>
        <v>#REF!</v>
      </c>
      <c r="EM46" t="e">
        <f>AND(#REF!,"AAAAAE/6Y44=")</f>
        <v>#REF!</v>
      </c>
      <c r="EN46" t="e">
        <f>AND(#REF!,"AAAAAE/6Y48=")</f>
        <v>#REF!</v>
      </c>
      <c r="EO46" t="e">
        <f>AND(#REF!,"AAAAAE/6Y5A=")</f>
        <v>#REF!</v>
      </c>
      <c r="EP46" t="e">
        <f>AND(#REF!,"AAAAAE/6Y5E=")</f>
        <v>#REF!</v>
      </c>
      <c r="EQ46" t="e">
        <f>AND(#REF!,"AAAAAE/6Y5I=")</f>
        <v>#REF!</v>
      </c>
      <c r="ER46" t="e">
        <f>AND(#REF!,"AAAAAE/6Y5M=")</f>
        <v>#REF!</v>
      </c>
      <c r="ES46" t="e">
        <f>AND(#REF!,"AAAAAE/6Y5Q=")</f>
        <v>#REF!</v>
      </c>
      <c r="ET46" t="e">
        <f>AND(#REF!,"AAAAAE/6Y5U=")</f>
        <v>#REF!</v>
      </c>
      <c r="EU46" t="e">
        <f>AND(#REF!,"AAAAAE/6Y5Y=")</f>
        <v>#REF!</v>
      </c>
      <c r="EV46" t="e">
        <f>AND(#REF!,"AAAAAE/6Y5c=")</f>
        <v>#REF!</v>
      </c>
      <c r="EW46" t="e">
        <f>AND(#REF!,"AAAAAE/6Y5g=")</f>
        <v>#REF!</v>
      </c>
      <c r="EX46" t="e">
        <f>AND(#REF!,"AAAAAE/6Y5k=")</f>
        <v>#REF!</v>
      </c>
      <c r="EY46" t="e">
        <f>AND(#REF!,"AAAAAE/6Y5o=")</f>
        <v>#REF!</v>
      </c>
      <c r="EZ46" t="e">
        <f>AND(#REF!,"AAAAAE/6Y5s=")</f>
        <v>#REF!</v>
      </c>
      <c r="FA46" t="e">
        <f>AND(#REF!,"AAAAAE/6Y5w=")</f>
        <v>#REF!</v>
      </c>
      <c r="FB46" t="e">
        <f>AND(#REF!,"AAAAAE/6Y50=")</f>
        <v>#REF!</v>
      </c>
      <c r="FC46" t="e">
        <f>AND(#REF!,"AAAAAE/6Y54=")</f>
        <v>#REF!</v>
      </c>
      <c r="FD46" t="e">
        <f>AND(#REF!,"AAAAAE/6Y58=")</f>
        <v>#REF!</v>
      </c>
      <c r="FE46" t="e">
        <f>AND(#REF!,"AAAAAE/6Y6A=")</f>
        <v>#REF!</v>
      </c>
      <c r="FF46" t="e">
        <f>AND(#REF!,"AAAAAE/6Y6E=")</f>
        <v>#REF!</v>
      </c>
      <c r="FG46" t="e">
        <f>AND(#REF!,"AAAAAE/6Y6I=")</f>
        <v>#REF!</v>
      </c>
      <c r="FH46" t="e">
        <f>AND(#REF!,"AAAAAE/6Y6M=")</f>
        <v>#REF!</v>
      </c>
      <c r="FI46" t="e">
        <f>AND(#REF!,"AAAAAE/6Y6Q=")</f>
        <v>#REF!</v>
      </c>
      <c r="FJ46" t="e">
        <f>AND(#REF!,"AAAAAE/6Y6U=")</f>
        <v>#REF!</v>
      </c>
      <c r="FK46" t="e">
        <f>AND(#REF!,"AAAAAE/6Y6Y=")</f>
        <v>#REF!</v>
      </c>
      <c r="FL46" t="e">
        <f>AND(#REF!,"AAAAAE/6Y6c=")</f>
        <v>#REF!</v>
      </c>
      <c r="FM46" t="e">
        <f>AND(#REF!,"AAAAAE/6Y6g=")</f>
        <v>#REF!</v>
      </c>
      <c r="FN46" t="e">
        <f>AND(#REF!,"AAAAAE/6Y6k=")</f>
        <v>#REF!</v>
      </c>
      <c r="FO46" t="e">
        <f>AND(#REF!,"AAAAAE/6Y6o=")</f>
        <v>#REF!</v>
      </c>
      <c r="FP46" t="e">
        <f>AND(#REF!,"AAAAAE/6Y6s=")</f>
        <v>#REF!</v>
      </c>
      <c r="FQ46" t="e">
        <f>AND(#REF!,"AAAAAE/6Y6w=")</f>
        <v>#REF!</v>
      </c>
      <c r="FR46" t="e">
        <f>AND(#REF!,"AAAAAE/6Y60=")</f>
        <v>#REF!</v>
      </c>
      <c r="FS46" t="e">
        <f>AND(#REF!,"AAAAAE/6Y64=")</f>
        <v>#REF!</v>
      </c>
      <c r="FT46" t="e">
        <f>AND(#REF!,"AAAAAE/6Y68=")</f>
        <v>#REF!</v>
      </c>
      <c r="FU46" t="e">
        <f>AND(#REF!,"AAAAAE/6Y7A=")</f>
        <v>#REF!</v>
      </c>
      <c r="FV46" t="e">
        <f>AND(#REF!,"AAAAAE/6Y7E=")</f>
        <v>#REF!</v>
      </c>
      <c r="FW46" t="e">
        <f>AND(#REF!,"AAAAAE/6Y7I=")</f>
        <v>#REF!</v>
      </c>
      <c r="FX46" t="e">
        <f>AND(#REF!,"AAAAAE/6Y7M=")</f>
        <v>#REF!</v>
      </c>
      <c r="FY46" t="e">
        <f>AND(#REF!,"AAAAAE/6Y7Q=")</f>
        <v>#REF!</v>
      </c>
      <c r="FZ46" t="e">
        <f>AND(#REF!,"AAAAAE/6Y7U=")</f>
        <v>#REF!</v>
      </c>
      <c r="GA46" t="e">
        <f>AND(#REF!,"AAAAAE/6Y7Y=")</f>
        <v>#REF!</v>
      </c>
      <c r="GB46" t="e">
        <f>AND(#REF!,"AAAAAE/6Y7c=")</f>
        <v>#REF!</v>
      </c>
      <c r="GC46" t="e">
        <f>AND(#REF!,"AAAAAE/6Y7g=")</f>
        <v>#REF!</v>
      </c>
      <c r="GD46" t="e">
        <f>AND(#REF!,"AAAAAE/6Y7k=")</f>
        <v>#REF!</v>
      </c>
      <c r="GE46" t="e">
        <f>AND(#REF!,"AAAAAE/6Y7o=")</f>
        <v>#REF!</v>
      </c>
      <c r="GF46" t="e">
        <f>IF(#REF!,"AAAAAE/6Y7s=",0)</f>
        <v>#REF!</v>
      </c>
      <c r="GG46" t="e">
        <f>AND(#REF!,"AAAAAE/6Y7w=")</f>
        <v>#REF!</v>
      </c>
      <c r="GH46" t="e">
        <f>AND(#REF!,"AAAAAE/6Y70=")</f>
        <v>#REF!</v>
      </c>
      <c r="GI46" t="e">
        <f>AND(#REF!,"AAAAAE/6Y74=")</f>
        <v>#REF!</v>
      </c>
      <c r="GJ46" t="e">
        <f>AND(#REF!,"AAAAAE/6Y78=")</f>
        <v>#REF!</v>
      </c>
      <c r="GK46" t="e">
        <f>AND(#REF!,"AAAAAE/6Y8A=")</f>
        <v>#REF!</v>
      </c>
      <c r="GL46" t="e">
        <f>AND(#REF!,"AAAAAE/6Y8E=")</f>
        <v>#REF!</v>
      </c>
      <c r="GM46" t="e">
        <f>AND(#REF!,"AAAAAE/6Y8I=")</f>
        <v>#REF!</v>
      </c>
      <c r="GN46" t="e">
        <f>AND(#REF!,"AAAAAE/6Y8M=")</f>
        <v>#REF!</v>
      </c>
      <c r="GO46" t="e">
        <f>AND(#REF!,"AAAAAE/6Y8Q=")</f>
        <v>#REF!</v>
      </c>
      <c r="GP46" t="e">
        <f>AND(#REF!,"AAAAAE/6Y8U=")</f>
        <v>#REF!</v>
      </c>
      <c r="GQ46" t="e">
        <f>AND(#REF!,"AAAAAE/6Y8Y=")</f>
        <v>#REF!</v>
      </c>
      <c r="GR46" t="e">
        <f>AND(#REF!,"AAAAAE/6Y8c=")</f>
        <v>#REF!</v>
      </c>
      <c r="GS46" t="e">
        <f>AND(#REF!,"AAAAAE/6Y8g=")</f>
        <v>#REF!</v>
      </c>
      <c r="GT46" t="e">
        <f>AND(#REF!,"AAAAAE/6Y8k=")</f>
        <v>#REF!</v>
      </c>
      <c r="GU46" t="e">
        <f>AND(#REF!,"AAAAAE/6Y8o=")</f>
        <v>#REF!</v>
      </c>
      <c r="GV46" t="e">
        <f>AND(#REF!,"AAAAAE/6Y8s=")</f>
        <v>#REF!</v>
      </c>
      <c r="GW46" t="e">
        <f>AND(#REF!,"AAAAAE/6Y8w=")</f>
        <v>#REF!</v>
      </c>
      <c r="GX46" t="e">
        <f>AND(#REF!,"AAAAAE/6Y80=")</f>
        <v>#REF!</v>
      </c>
      <c r="GY46" t="e">
        <f>AND(#REF!,"AAAAAE/6Y84=")</f>
        <v>#REF!</v>
      </c>
      <c r="GZ46" t="e">
        <f>AND(#REF!,"AAAAAE/6Y88=")</f>
        <v>#REF!</v>
      </c>
      <c r="HA46" t="e">
        <f>AND(#REF!,"AAAAAE/6Y9A=")</f>
        <v>#REF!</v>
      </c>
      <c r="HB46" t="e">
        <f>AND(#REF!,"AAAAAE/6Y9E=")</f>
        <v>#REF!</v>
      </c>
      <c r="HC46" t="e">
        <f>AND(#REF!,"AAAAAE/6Y9I=")</f>
        <v>#REF!</v>
      </c>
      <c r="HD46" t="e">
        <f>AND(#REF!,"AAAAAE/6Y9M=")</f>
        <v>#REF!</v>
      </c>
      <c r="HE46" t="e">
        <f>AND(#REF!,"AAAAAE/6Y9Q=")</f>
        <v>#REF!</v>
      </c>
      <c r="HF46" t="e">
        <f>AND(#REF!,"AAAAAE/6Y9U=")</f>
        <v>#REF!</v>
      </c>
      <c r="HG46" t="e">
        <f>AND(#REF!,"AAAAAE/6Y9Y=")</f>
        <v>#REF!</v>
      </c>
      <c r="HH46" t="e">
        <f>AND(#REF!,"AAAAAE/6Y9c=")</f>
        <v>#REF!</v>
      </c>
      <c r="HI46" t="e">
        <f>AND(#REF!,"AAAAAE/6Y9g=")</f>
        <v>#REF!</v>
      </c>
      <c r="HJ46" t="e">
        <f>AND(#REF!,"AAAAAE/6Y9k=")</f>
        <v>#REF!</v>
      </c>
      <c r="HK46" t="e">
        <f>AND(#REF!,"AAAAAE/6Y9o=")</f>
        <v>#REF!</v>
      </c>
      <c r="HL46" t="e">
        <f>AND(#REF!,"AAAAAE/6Y9s=")</f>
        <v>#REF!</v>
      </c>
      <c r="HM46" t="e">
        <f>AND(#REF!,"AAAAAE/6Y9w=")</f>
        <v>#REF!</v>
      </c>
      <c r="HN46" t="e">
        <f>AND(#REF!,"AAAAAE/6Y90=")</f>
        <v>#REF!</v>
      </c>
      <c r="HO46" t="e">
        <f>AND(#REF!,"AAAAAE/6Y94=")</f>
        <v>#REF!</v>
      </c>
      <c r="HP46" t="e">
        <f>AND(#REF!,"AAAAAE/6Y98=")</f>
        <v>#REF!</v>
      </c>
      <c r="HQ46" t="e">
        <f>AND(#REF!,"AAAAAE/6Y+A=")</f>
        <v>#REF!</v>
      </c>
      <c r="HR46" t="e">
        <f>AND(#REF!,"AAAAAE/6Y+E=")</f>
        <v>#REF!</v>
      </c>
      <c r="HS46" t="e">
        <f>AND(#REF!,"AAAAAE/6Y+I=")</f>
        <v>#REF!</v>
      </c>
      <c r="HT46" t="e">
        <f>AND(#REF!,"AAAAAE/6Y+M=")</f>
        <v>#REF!</v>
      </c>
      <c r="HU46" t="e">
        <f>AND(#REF!,"AAAAAE/6Y+Q=")</f>
        <v>#REF!</v>
      </c>
      <c r="HV46" t="e">
        <f>AND(#REF!,"AAAAAE/6Y+U=")</f>
        <v>#REF!</v>
      </c>
      <c r="HW46" t="e">
        <f>AND(#REF!,"AAAAAE/6Y+Y=")</f>
        <v>#REF!</v>
      </c>
      <c r="HX46" t="e">
        <f>AND(#REF!,"AAAAAE/6Y+c=")</f>
        <v>#REF!</v>
      </c>
      <c r="HY46" t="e">
        <f>AND(#REF!,"AAAAAE/6Y+g=")</f>
        <v>#REF!</v>
      </c>
      <c r="HZ46" t="e">
        <f>AND(#REF!,"AAAAAE/6Y+k=")</f>
        <v>#REF!</v>
      </c>
      <c r="IA46" t="e">
        <f>AND(#REF!,"AAAAAE/6Y+o=")</f>
        <v>#REF!</v>
      </c>
      <c r="IB46" t="e">
        <f>AND(#REF!,"AAAAAE/6Y+s=")</f>
        <v>#REF!</v>
      </c>
      <c r="IC46" t="e">
        <f>AND(#REF!,"AAAAAE/6Y+w=")</f>
        <v>#REF!</v>
      </c>
      <c r="ID46" t="e">
        <f>AND(#REF!,"AAAAAE/6Y+0=")</f>
        <v>#REF!</v>
      </c>
      <c r="IE46" t="e">
        <f>AND(#REF!,"AAAAAE/6Y+4=")</f>
        <v>#REF!</v>
      </c>
      <c r="IF46" t="e">
        <f>AND(#REF!,"AAAAAE/6Y+8=")</f>
        <v>#REF!</v>
      </c>
      <c r="IG46" t="e">
        <f>AND(#REF!,"AAAAAE/6Y/A=")</f>
        <v>#REF!</v>
      </c>
      <c r="IH46" t="e">
        <f>AND(#REF!,"AAAAAE/6Y/E=")</f>
        <v>#REF!</v>
      </c>
      <c r="II46" t="e">
        <f>AND(#REF!,"AAAAAE/6Y/I=")</f>
        <v>#REF!</v>
      </c>
      <c r="IJ46" t="e">
        <f>AND(#REF!,"AAAAAE/6Y/M=")</f>
        <v>#REF!</v>
      </c>
      <c r="IK46" t="e">
        <f>AND(#REF!,"AAAAAE/6Y/Q=")</f>
        <v>#REF!</v>
      </c>
      <c r="IL46" t="e">
        <f>AND(#REF!,"AAAAAE/6Y/U=")</f>
        <v>#REF!</v>
      </c>
      <c r="IM46" t="e">
        <f>AND(#REF!,"AAAAAE/6Y/Y=")</f>
        <v>#REF!</v>
      </c>
      <c r="IN46" t="e">
        <f>AND(#REF!,"AAAAAE/6Y/c=")</f>
        <v>#REF!</v>
      </c>
      <c r="IO46" t="e">
        <f>AND(#REF!,"AAAAAE/6Y/g=")</f>
        <v>#REF!</v>
      </c>
      <c r="IP46" t="e">
        <f>AND(#REF!,"AAAAAE/6Y/k=")</f>
        <v>#REF!</v>
      </c>
      <c r="IQ46" t="e">
        <f>AND(#REF!,"AAAAAE/6Y/o=")</f>
        <v>#REF!</v>
      </c>
      <c r="IR46" t="e">
        <f>AND(#REF!,"AAAAAE/6Y/s=")</f>
        <v>#REF!</v>
      </c>
      <c r="IS46" t="e">
        <f>AND(#REF!,"AAAAAE/6Y/w=")</f>
        <v>#REF!</v>
      </c>
      <c r="IT46" t="e">
        <f>AND(#REF!,"AAAAAE/6Y/0=")</f>
        <v>#REF!</v>
      </c>
      <c r="IU46" t="e">
        <f>AND(#REF!,"AAAAAE/6Y/4=")</f>
        <v>#REF!</v>
      </c>
      <c r="IV46" t="e">
        <f>AND(#REF!,"AAAAAE/6Y/8=")</f>
        <v>#REF!</v>
      </c>
    </row>
    <row r="47" spans="1:256" x14ac:dyDescent="0.2">
      <c r="A47" t="e">
        <f>AND(#REF!,"AAAAACjz9wA=")</f>
        <v>#REF!</v>
      </c>
      <c r="B47" t="e">
        <f>AND(#REF!,"AAAAACjz9wE=")</f>
        <v>#REF!</v>
      </c>
      <c r="C47" t="e">
        <f>AND(#REF!,"AAAAACjz9wI=")</f>
        <v>#REF!</v>
      </c>
      <c r="D47" t="e">
        <f>AND(#REF!,"AAAAACjz9wM=")</f>
        <v>#REF!</v>
      </c>
      <c r="E47" t="e">
        <f>AND(#REF!,"AAAAACjz9wQ=")</f>
        <v>#REF!</v>
      </c>
      <c r="F47" t="e">
        <f>AND(#REF!,"AAAAACjz9wU=")</f>
        <v>#REF!</v>
      </c>
      <c r="G47" t="e">
        <f>IF(#REF!,"AAAAACjz9wY=",0)</f>
        <v>#REF!</v>
      </c>
      <c r="H47" t="e">
        <f>AND(#REF!,"AAAAACjz9wc=")</f>
        <v>#REF!</v>
      </c>
      <c r="I47" t="e">
        <f>AND(#REF!,"AAAAACjz9wg=")</f>
        <v>#REF!</v>
      </c>
      <c r="J47" t="e">
        <f>AND(#REF!,"AAAAACjz9wk=")</f>
        <v>#REF!</v>
      </c>
      <c r="K47" t="e">
        <f>AND(#REF!,"AAAAACjz9wo=")</f>
        <v>#REF!</v>
      </c>
      <c r="L47" t="e">
        <f>AND(#REF!,"AAAAACjz9ws=")</f>
        <v>#REF!</v>
      </c>
      <c r="M47" t="e">
        <f>AND(#REF!,"AAAAACjz9ww=")</f>
        <v>#REF!</v>
      </c>
      <c r="N47" t="e">
        <f>AND(#REF!,"AAAAACjz9w0=")</f>
        <v>#REF!</v>
      </c>
      <c r="O47" t="e">
        <f>AND(#REF!,"AAAAACjz9w4=")</f>
        <v>#REF!</v>
      </c>
      <c r="P47" t="e">
        <f>AND(#REF!,"AAAAACjz9w8=")</f>
        <v>#REF!</v>
      </c>
      <c r="Q47" t="e">
        <f>AND(#REF!,"AAAAACjz9xA=")</f>
        <v>#REF!</v>
      </c>
      <c r="R47" t="e">
        <f>AND(#REF!,"AAAAACjz9xE=")</f>
        <v>#REF!</v>
      </c>
      <c r="S47" t="e">
        <f>AND(#REF!,"AAAAACjz9xI=")</f>
        <v>#REF!</v>
      </c>
      <c r="T47" t="e">
        <f>AND(#REF!,"AAAAACjz9xM=")</f>
        <v>#REF!</v>
      </c>
      <c r="U47" t="e">
        <f>AND(#REF!,"AAAAACjz9xQ=")</f>
        <v>#REF!</v>
      </c>
      <c r="V47" t="e">
        <f>AND(#REF!,"AAAAACjz9xU=")</f>
        <v>#REF!</v>
      </c>
      <c r="W47" t="e">
        <f>AND(#REF!,"AAAAACjz9xY=")</f>
        <v>#REF!</v>
      </c>
      <c r="X47" t="e">
        <f>AND(#REF!,"AAAAACjz9xc=")</f>
        <v>#REF!</v>
      </c>
      <c r="Y47" t="e">
        <f>AND(#REF!,"AAAAACjz9xg=")</f>
        <v>#REF!</v>
      </c>
      <c r="Z47" t="e">
        <f>AND(#REF!,"AAAAACjz9xk=")</f>
        <v>#REF!</v>
      </c>
      <c r="AA47" t="e">
        <f>AND(#REF!,"AAAAACjz9xo=")</f>
        <v>#REF!</v>
      </c>
      <c r="AB47" t="e">
        <f>AND(#REF!,"AAAAACjz9xs=")</f>
        <v>#REF!</v>
      </c>
      <c r="AC47" t="e">
        <f>AND(#REF!,"AAAAACjz9xw=")</f>
        <v>#REF!</v>
      </c>
      <c r="AD47" t="e">
        <f>AND(#REF!,"AAAAACjz9x0=")</f>
        <v>#REF!</v>
      </c>
      <c r="AE47" t="e">
        <f>AND(#REF!,"AAAAACjz9x4=")</f>
        <v>#REF!</v>
      </c>
      <c r="AF47" t="e">
        <f>AND(#REF!,"AAAAACjz9x8=")</f>
        <v>#REF!</v>
      </c>
      <c r="AG47" t="e">
        <f>AND(#REF!,"AAAAACjz9yA=")</f>
        <v>#REF!</v>
      </c>
      <c r="AH47" t="e">
        <f>AND(#REF!,"AAAAACjz9yE=")</f>
        <v>#REF!</v>
      </c>
      <c r="AI47" t="e">
        <f>AND(#REF!,"AAAAACjz9yI=")</f>
        <v>#REF!</v>
      </c>
      <c r="AJ47" t="e">
        <f>AND(#REF!,"AAAAACjz9yM=")</f>
        <v>#REF!</v>
      </c>
      <c r="AK47" t="e">
        <f>AND(#REF!,"AAAAACjz9yQ=")</f>
        <v>#REF!</v>
      </c>
      <c r="AL47" t="e">
        <f>AND(#REF!,"AAAAACjz9yU=")</f>
        <v>#REF!</v>
      </c>
      <c r="AM47" t="e">
        <f>AND(#REF!,"AAAAACjz9yY=")</f>
        <v>#REF!</v>
      </c>
      <c r="AN47" t="e">
        <f>AND(#REF!,"AAAAACjz9yc=")</f>
        <v>#REF!</v>
      </c>
      <c r="AO47" t="e">
        <f>AND(#REF!,"AAAAACjz9yg=")</f>
        <v>#REF!</v>
      </c>
      <c r="AP47" t="e">
        <f>AND(#REF!,"AAAAACjz9yk=")</f>
        <v>#REF!</v>
      </c>
      <c r="AQ47" t="e">
        <f>AND(#REF!,"AAAAACjz9yo=")</f>
        <v>#REF!</v>
      </c>
      <c r="AR47" t="e">
        <f>AND(#REF!,"AAAAACjz9ys=")</f>
        <v>#REF!</v>
      </c>
      <c r="AS47" t="e">
        <f>AND(#REF!,"AAAAACjz9yw=")</f>
        <v>#REF!</v>
      </c>
      <c r="AT47" t="e">
        <f>AND(#REF!,"AAAAACjz9y0=")</f>
        <v>#REF!</v>
      </c>
      <c r="AU47" t="e">
        <f>AND(#REF!,"AAAAACjz9y4=")</f>
        <v>#REF!</v>
      </c>
      <c r="AV47" t="e">
        <f>AND(#REF!,"AAAAACjz9y8=")</f>
        <v>#REF!</v>
      </c>
      <c r="AW47" t="e">
        <f>AND(#REF!,"AAAAACjz9zA=")</f>
        <v>#REF!</v>
      </c>
      <c r="AX47" t="e">
        <f>AND(#REF!,"AAAAACjz9zE=")</f>
        <v>#REF!</v>
      </c>
      <c r="AY47" t="e">
        <f>AND(#REF!,"AAAAACjz9zI=")</f>
        <v>#REF!</v>
      </c>
      <c r="AZ47" t="e">
        <f>AND(#REF!,"AAAAACjz9zM=")</f>
        <v>#REF!</v>
      </c>
      <c r="BA47" t="e">
        <f>AND(#REF!,"AAAAACjz9zQ=")</f>
        <v>#REF!</v>
      </c>
      <c r="BB47" t="e">
        <f>AND(#REF!,"AAAAACjz9zU=")</f>
        <v>#REF!</v>
      </c>
      <c r="BC47" t="e">
        <f>AND(#REF!,"AAAAACjz9zY=")</f>
        <v>#REF!</v>
      </c>
      <c r="BD47" t="e">
        <f>AND(#REF!,"AAAAACjz9zc=")</f>
        <v>#REF!</v>
      </c>
      <c r="BE47" t="e">
        <f>AND(#REF!,"AAAAACjz9zg=")</f>
        <v>#REF!</v>
      </c>
      <c r="BF47" t="e">
        <f>AND(#REF!,"AAAAACjz9zk=")</f>
        <v>#REF!</v>
      </c>
      <c r="BG47" t="e">
        <f>AND(#REF!,"AAAAACjz9zo=")</f>
        <v>#REF!</v>
      </c>
      <c r="BH47" t="e">
        <f>AND(#REF!,"AAAAACjz9zs=")</f>
        <v>#REF!</v>
      </c>
      <c r="BI47" t="e">
        <f>AND(#REF!,"AAAAACjz9zw=")</f>
        <v>#REF!</v>
      </c>
      <c r="BJ47" t="e">
        <f>AND(#REF!,"AAAAACjz9z0=")</f>
        <v>#REF!</v>
      </c>
      <c r="BK47" t="e">
        <f>AND(#REF!,"AAAAACjz9z4=")</f>
        <v>#REF!</v>
      </c>
      <c r="BL47" t="e">
        <f>AND(#REF!,"AAAAACjz9z8=")</f>
        <v>#REF!</v>
      </c>
      <c r="BM47" t="e">
        <f>AND(#REF!,"AAAAACjz90A=")</f>
        <v>#REF!</v>
      </c>
      <c r="BN47" t="e">
        <f>AND(#REF!,"AAAAACjz90E=")</f>
        <v>#REF!</v>
      </c>
      <c r="BO47" t="e">
        <f>AND(#REF!,"AAAAACjz90I=")</f>
        <v>#REF!</v>
      </c>
      <c r="BP47" t="e">
        <f>AND(#REF!,"AAAAACjz90M=")</f>
        <v>#REF!</v>
      </c>
      <c r="BQ47" t="e">
        <f>AND(#REF!,"AAAAACjz90Q=")</f>
        <v>#REF!</v>
      </c>
      <c r="BR47" t="e">
        <f>AND(#REF!,"AAAAACjz90U=")</f>
        <v>#REF!</v>
      </c>
      <c r="BS47" t="e">
        <f>AND(#REF!,"AAAAACjz90Y=")</f>
        <v>#REF!</v>
      </c>
      <c r="BT47" t="e">
        <f>AND(#REF!,"AAAAACjz90c=")</f>
        <v>#REF!</v>
      </c>
      <c r="BU47" t="e">
        <f>AND(#REF!,"AAAAACjz90g=")</f>
        <v>#REF!</v>
      </c>
      <c r="BV47" t="e">
        <f>AND(#REF!,"AAAAACjz90k=")</f>
        <v>#REF!</v>
      </c>
      <c r="BW47" t="e">
        <f>AND(#REF!,"AAAAACjz90o=")</f>
        <v>#REF!</v>
      </c>
      <c r="BX47" t="e">
        <f>AND(#REF!,"AAAAACjz90s=")</f>
        <v>#REF!</v>
      </c>
      <c r="BY47" t="e">
        <f>AND(#REF!,"AAAAACjz90w=")</f>
        <v>#REF!</v>
      </c>
      <c r="BZ47" t="e">
        <f>AND(#REF!,"AAAAACjz900=")</f>
        <v>#REF!</v>
      </c>
      <c r="CA47" t="e">
        <f>AND(#REF!,"AAAAACjz904=")</f>
        <v>#REF!</v>
      </c>
      <c r="CB47" t="e">
        <f>AND(#REF!,"AAAAACjz908=")</f>
        <v>#REF!</v>
      </c>
      <c r="CC47" t="e">
        <f>AND(#REF!,"AAAAACjz91A=")</f>
        <v>#REF!</v>
      </c>
      <c r="CD47" t="e">
        <f>IF(#REF!,"AAAAACjz91E=",0)</f>
        <v>#REF!</v>
      </c>
      <c r="CE47" t="e">
        <f>AND(#REF!,"AAAAACjz91I=")</f>
        <v>#REF!</v>
      </c>
      <c r="CF47" t="e">
        <f>AND(#REF!,"AAAAACjz91M=")</f>
        <v>#REF!</v>
      </c>
      <c r="CG47" t="e">
        <f>AND(#REF!,"AAAAACjz91Q=")</f>
        <v>#REF!</v>
      </c>
      <c r="CH47" t="e">
        <f>AND(#REF!,"AAAAACjz91U=")</f>
        <v>#REF!</v>
      </c>
      <c r="CI47" t="e">
        <f>AND(#REF!,"AAAAACjz91Y=")</f>
        <v>#REF!</v>
      </c>
      <c r="CJ47" t="e">
        <f>AND(#REF!,"AAAAACjz91c=")</f>
        <v>#REF!</v>
      </c>
      <c r="CK47" t="e">
        <f>AND(#REF!,"AAAAACjz91g=")</f>
        <v>#REF!</v>
      </c>
      <c r="CL47" t="e">
        <f>AND(#REF!,"AAAAACjz91k=")</f>
        <v>#REF!</v>
      </c>
      <c r="CM47" t="e">
        <f>AND(#REF!,"AAAAACjz91o=")</f>
        <v>#REF!</v>
      </c>
      <c r="CN47" t="e">
        <f>AND(#REF!,"AAAAACjz91s=")</f>
        <v>#REF!</v>
      </c>
      <c r="CO47" t="e">
        <f>AND(#REF!,"AAAAACjz91w=")</f>
        <v>#REF!</v>
      </c>
      <c r="CP47" t="e">
        <f>AND(#REF!,"AAAAACjz910=")</f>
        <v>#REF!</v>
      </c>
      <c r="CQ47" t="e">
        <f>AND(#REF!,"AAAAACjz914=")</f>
        <v>#REF!</v>
      </c>
      <c r="CR47" t="e">
        <f>AND(#REF!,"AAAAACjz918=")</f>
        <v>#REF!</v>
      </c>
      <c r="CS47" t="e">
        <f>AND(#REF!,"AAAAACjz92A=")</f>
        <v>#REF!</v>
      </c>
      <c r="CT47" t="e">
        <f>AND(#REF!,"AAAAACjz92E=")</f>
        <v>#REF!</v>
      </c>
      <c r="CU47" t="e">
        <f>AND(#REF!,"AAAAACjz92I=")</f>
        <v>#REF!</v>
      </c>
      <c r="CV47" t="e">
        <f>AND(#REF!,"AAAAACjz92M=")</f>
        <v>#REF!</v>
      </c>
      <c r="CW47" t="e">
        <f>AND(#REF!,"AAAAACjz92Q=")</f>
        <v>#REF!</v>
      </c>
      <c r="CX47" t="e">
        <f>AND(#REF!,"AAAAACjz92U=")</f>
        <v>#REF!</v>
      </c>
      <c r="CY47" t="e">
        <f>AND(#REF!,"AAAAACjz92Y=")</f>
        <v>#REF!</v>
      </c>
      <c r="CZ47" t="e">
        <f>AND(#REF!,"AAAAACjz92c=")</f>
        <v>#REF!</v>
      </c>
      <c r="DA47" t="e">
        <f>AND(#REF!,"AAAAACjz92g=")</f>
        <v>#REF!</v>
      </c>
      <c r="DB47" t="e">
        <f>AND(#REF!,"AAAAACjz92k=")</f>
        <v>#REF!</v>
      </c>
      <c r="DC47" t="e">
        <f>AND(#REF!,"AAAAACjz92o=")</f>
        <v>#REF!</v>
      </c>
      <c r="DD47" t="e">
        <f>AND(#REF!,"AAAAACjz92s=")</f>
        <v>#REF!</v>
      </c>
      <c r="DE47" t="e">
        <f>AND(#REF!,"AAAAACjz92w=")</f>
        <v>#REF!</v>
      </c>
      <c r="DF47" t="e">
        <f>AND(#REF!,"AAAAACjz920=")</f>
        <v>#REF!</v>
      </c>
      <c r="DG47" t="e">
        <f>AND(#REF!,"AAAAACjz924=")</f>
        <v>#REF!</v>
      </c>
      <c r="DH47" t="e">
        <f>AND(#REF!,"AAAAACjz928=")</f>
        <v>#REF!</v>
      </c>
      <c r="DI47" t="e">
        <f>AND(#REF!,"AAAAACjz93A=")</f>
        <v>#REF!</v>
      </c>
      <c r="DJ47" t="e">
        <f>AND(#REF!,"AAAAACjz93E=")</f>
        <v>#REF!</v>
      </c>
      <c r="DK47" t="e">
        <f>AND(#REF!,"AAAAACjz93I=")</f>
        <v>#REF!</v>
      </c>
      <c r="DL47" t="e">
        <f>AND(#REF!,"AAAAACjz93M=")</f>
        <v>#REF!</v>
      </c>
      <c r="DM47" t="e">
        <f>AND(#REF!,"AAAAACjz93Q=")</f>
        <v>#REF!</v>
      </c>
      <c r="DN47" t="e">
        <f>AND(#REF!,"AAAAACjz93U=")</f>
        <v>#REF!</v>
      </c>
      <c r="DO47" t="e">
        <f>AND(#REF!,"AAAAACjz93Y=")</f>
        <v>#REF!</v>
      </c>
      <c r="DP47" t="e">
        <f>AND(#REF!,"AAAAACjz93c=")</f>
        <v>#REF!</v>
      </c>
      <c r="DQ47" t="e">
        <f>AND(#REF!,"AAAAACjz93g=")</f>
        <v>#REF!</v>
      </c>
      <c r="DR47" t="e">
        <f>AND(#REF!,"AAAAACjz93k=")</f>
        <v>#REF!</v>
      </c>
      <c r="DS47" t="e">
        <f>AND(#REF!,"AAAAACjz93o=")</f>
        <v>#REF!</v>
      </c>
      <c r="DT47" t="e">
        <f>AND(#REF!,"AAAAACjz93s=")</f>
        <v>#REF!</v>
      </c>
      <c r="DU47" t="e">
        <f>AND(#REF!,"AAAAACjz93w=")</f>
        <v>#REF!</v>
      </c>
      <c r="DV47" t="e">
        <f>AND(#REF!,"AAAAACjz930=")</f>
        <v>#REF!</v>
      </c>
      <c r="DW47" t="e">
        <f>AND(#REF!,"AAAAACjz934=")</f>
        <v>#REF!</v>
      </c>
      <c r="DX47" t="e">
        <f>AND(#REF!,"AAAAACjz938=")</f>
        <v>#REF!</v>
      </c>
      <c r="DY47" t="e">
        <f>AND(#REF!,"AAAAACjz94A=")</f>
        <v>#REF!</v>
      </c>
      <c r="DZ47" t="e">
        <f>AND(#REF!,"AAAAACjz94E=")</f>
        <v>#REF!</v>
      </c>
      <c r="EA47" t="e">
        <f>AND(#REF!,"AAAAACjz94I=")</f>
        <v>#REF!</v>
      </c>
      <c r="EB47" t="e">
        <f>AND(#REF!,"AAAAACjz94M=")</f>
        <v>#REF!</v>
      </c>
      <c r="EC47" t="e">
        <f>AND(#REF!,"AAAAACjz94Q=")</f>
        <v>#REF!</v>
      </c>
      <c r="ED47" t="e">
        <f>AND(#REF!,"AAAAACjz94U=")</f>
        <v>#REF!</v>
      </c>
      <c r="EE47" t="e">
        <f>AND(#REF!,"AAAAACjz94Y=")</f>
        <v>#REF!</v>
      </c>
      <c r="EF47" t="e">
        <f>AND(#REF!,"AAAAACjz94c=")</f>
        <v>#REF!</v>
      </c>
      <c r="EG47" t="e">
        <f>AND(#REF!,"AAAAACjz94g=")</f>
        <v>#REF!</v>
      </c>
      <c r="EH47" t="e">
        <f>AND(#REF!,"AAAAACjz94k=")</f>
        <v>#REF!</v>
      </c>
      <c r="EI47" t="e">
        <f>AND(#REF!,"AAAAACjz94o=")</f>
        <v>#REF!</v>
      </c>
      <c r="EJ47" t="e">
        <f>AND(#REF!,"AAAAACjz94s=")</f>
        <v>#REF!</v>
      </c>
      <c r="EK47" t="e">
        <f>AND(#REF!,"AAAAACjz94w=")</f>
        <v>#REF!</v>
      </c>
      <c r="EL47" t="e">
        <f>AND(#REF!,"AAAAACjz940=")</f>
        <v>#REF!</v>
      </c>
      <c r="EM47" t="e">
        <f>AND(#REF!,"AAAAACjz944=")</f>
        <v>#REF!</v>
      </c>
      <c r="EN47" t="e">
        <f>AND(#REF!,"AAAAACjz948=")</f>
        <v>#REF!</v>
      </c>
      <c r="EO47" t="e">
        <f>AND(#REF!,"AAAAACjz95A=")</f>
        <v>#REF!</v>
      </c>
      <c r="EP47" t="e">
        <f>AND(#REF!,"AAAAACjz95E=")</f>
        <v>#REF!</v>
      </c>
      <c r="EQ47" t="e">
        <f>AND(#REF!,"AAAAACjz95I=")</f>
        <v>#REF!</v>
      </c>
      <c r="ER47" t="e">
        <f>AND(#REF!,"AAAAACjz95M=")</f>
        <v>#REF!</v>
      </c>
      <c r="ES47" t="e">
        <f>AND(#REF!,"AAAAACjz95Q=")</f>
        <v>#REF!</v>
      </c>
      <c r="ET47" t="e">
        <f>AND(#REF!,"AAAAACjz95U=")</f>
        <v>#REF!</v>
      </c>
      <c r="EU47" t="e">
        <f>AND(#REF!,"AAAAACjz95Y=")</f>
        <v>#REF!</v>
      </c>
      <c r="EV47" t="e">
        <f>AND(#REF!,"AAAAACjz95c=")</f>
        <v>#REF!</v>
      </c>
      <c r="EW47" t="e">
        <f>AND(#REF!,"AAAAACjz95g=")</f>
        <v>#REF!</v>
      </c>
      <c r="EX47" t="e">
        <f>AND(#REF!,"AAAAACjz95k=")</f>
        <v>#REF!</v>
      </c>
      <c r="EY47" t="e">
        <f>AND(#REF!,"AAAAACjz95o=")</f>
        <v>#REF!</v>
      </c>
      <c r="EZ47" t="e">
        <f>AND(#REF!,"AAAAACjz95s=")</f>
        <v>#REF!</v>
      </c>
      <c r="FA47" t="e">
        <f>IF(#REF!,"AAAAACjz95w=",0)</f>
        <v>#REF!</v>
      </c>
      <c r="FB47" t="e">
        <f>AND(#REF!,"AAAAACjz950=")</f>
        <v>#REF!</v>
      </c>
      <c r="FC47" t="e">
        <f>AND(#REF!,"AAAAACjz954=")</f>
        <v>#REF!</v>
      </c>
      <c r="FD47" t="e">
        <f>AND(#REF!,"AAAAACjz958=")</f>
        <v>#REF!</v>
      </c>
      <c r="FE47" t="e">
        <f>AND(#REF!,"AAAAACjz96A=")</f>
        <v>#REF!</v>
      </c>
      <c r="FF47" t="e">
        <f>AND(#REF!,"AAAAACjz96E=")</f>
        <v>#REF!</v>
      </c>
      <c r="FG47" t="e">
        <f>AND(#REF!,"AAAAACjz96I=")</f>
        <v>#REF!</v>
      </c>
      <c r="FH47" t="e">
        <f>AND(#REF!,"AAAAACjz96M=")</f>
        <v>#REF!</v>
      </c>
      <c r="FI47" t="e">
        <f>AND(#REF!,"AAAAACjz96Q=")</f>
        <v>#REF!</v>
      </c>
      <c r="FJ47" t="e">
        <f>AND(#REF!,"AAAAACjz96U=")</f>
        <v>#REF!</v>
      </c>
      <c r="FK47" t="e">
        <f>AND(#REF!,"AAAAACjz96Y=")</f>
        <v>#REF!</v>
      </c>
      <c r="FL47" t="e">
        <f>AND(#REF!,"AAAAACjz96c=")</f>
        <v>#REF!</v>
      </c>
      <c r="FM47" t="e">
        <f>AND(#REF!,"AAAAACjz96g=")</f>
        <v>#REF!</v>
      </c>
      <c r="FN47" t="e">
        <f>AND(#REF!,"AAAAACjz96k=")</f>
        <v>#REF!</v>
      </c>
      <c r="FO47" t="e">
        <f>AND(#REF!,"AAAAACjz96o=")</f>
        <v>#REF!</v>
      </c>
      <c r="FP47" t="e">
        <f>AND(#REF!,"AAAAACjz96s=")</f>
        <v>#REF!</v>
      </c>
      <c r="FQ47" t="e">
        <f>AND(#REF!,"AAAAACjz96w=")</f>
        <v>#REF!</v>
      </c>
      <c r="FR47" t="e">
        <f>AND(#REF!,"AAAAACjz960=")</f>
        <v>#REF!</v>
      </c>
      <c r="FS47" t="e">
        <f>AND(#REF!,"AAAAACjz964=")</f>
        <v>#REF!</v>
      </c>
      <c r="FT47" t="e">
        <f>AND(#REF!,"AAAAACjz968=")</f>
        <v>#REF!</v>
      </c>
      <c r="FU47" t="e">
        <f>AND(#REF!,"AAAAACjz97A=")</f>
        <v>#REF!</v>
      </c>
      <c r="FV47" t="e">
        <f>AND(#REF!,"AAAAACjz97E=")</f>
        <v>#REF!</v>
      </c>
      <c r="FW47" t="e">
        <f>AND(#REF!,"AAAAACjz97I=")</f>
        <v>#REF!</v>
      </c>
      <c r="FX47" t="e">
        <f>AND(#REF!,"AAAAACjz97M=")</f>
        <v>#REF!</v>
      </c>
      <c r="FY47" t="e">
        <f>AND(#REF!,"AAAAACjz97Q=")</f>
        <v>#REF!</v>
      </c>
      <c r="FZ47" t="e">
        <f>AND(#REF!,"AAAAACjz97U=")</f>
        <v>#REF!</v>
      </c>
      <c r="GA47" t="e">
        <f>AND(#REF!,"AAAAACjz97Y=")</f>
        <v>#REF!</v>
      </c>
      <c r="GB47" t="e">
        <f>AND(#REF!,"AAAAACjz97c=")</f>
        <v>#REF!</v>
      </c>
      <c r="GC47" t="e">
        <f>AND(#REF!,"AAAAACjz97g=")</f>
        <v>#REF!</v>
      </c>
      <c r="GD47" t="e">
        <f>AND(#REF!,"AAAAACjz97k=")</f>
        <v>#REF!</v>
      </c>
      <c r="GE47" t="e">
        <f>AND(#REF!,"AAAAACjz97o=")</f>
        <v>#REF!</v>
      </c>
      <c r="GF47" t="e">
        <f>AND(#REF!,"AAAAACjz97s=")</f>
        <v>#REF!</v>
      </c>
      <c r="GG47" t="e">
        <f>AND(#REF!,"AAAAACjz97w=")</f>
        <v>#REF!</v>
      </c>
      <c r="GH47" t="e">
        <f>AND(#REF!,"AAAAACjz970=")</f>
        <v>#REF!</v>
      </c>
      <c r="GI47" t="e">
        <f>AND(#REF!,"AAAAACjz974=")</f>
        <v>#REF!</v>
      </c>
      <c r="GJ47" t="e">
        <f>AND(#REF!,"AAAAACjz978=")</f>
        <v>#REF!</v>
      </c>
      <c r="GK47" t="e">
        <f>AND(#REF!,"AAAAACjz98A=")</f>
        <v>#REF!</v>
      </c>
      <c r="GL47" t="e">
        <f>AND(#REF!,"AAAAACjz98E=")</f>
        <v>#REF!</v>
      </c>
      <c r="GM47" t="e">
        <f>AND(#REF!,"AAAAACjz98I=")</f>
        <v>#REF!</v>
      </c>
      <c r="GN47" t="e">
        <f>AND(#REF!,"AAAAACjz98M=")</f>
        <v>#REF!</v>
      </c>
      <c r="GO47" t="e">
        <f>AND(#REF!,"AAAAACjz98Q=")</f>
        <v>#REF!</v>
      </c>
      <c r="GP47" t="e">
        <f>AND(#REF!,"AAAAACjz98U=")</f>
        <v>#REF!</v>
      </c>
      <c r="GQ47" t="e">
        <f>AND(#REF!,"AAAAACjz98Y=")</f>
        <v>#REF!</v>
      </c>
      <c r="GR47" t="e">
        <f>AND(#REF!,"AAAAACjz98c=")</f>
        <v>#REF!</v>
      </c>
      <c r="GS47" t="e">
        <f>AND(#REF!,"AAAAACjz98g=")</f>
        <v>#REF!</v>
      </c>
      <c r="GT47" t="e">
        <f>AND(#REF!,"AAAAACjz98k=")</f>
        <v>#REF!</v>
      </c>
      <c r="GU47" t="e">
        <f>AND(#REF!,"AAAAACjz98o=")</f>
        <v>#REF!</v>
      </c>
      <c r="GV47" t="e">
        <f>AND(#REF!,"AAAAACjz98s=")</f>
        <v>#REF!</v>
      </c>
      <c r="GW47" t="e">
        <f>AND(#REF!,"AAAAACjz98w=")</f>
        <v>#REF!</v>
      </c>
      <c r="GX47" t="e">
        <f>AND(#REF!,"AAAAACjz980=")</f>
        <v>#REF!</v>
      </c>
      <c r="GY47" t="e">
        <f>AND(#REF!,"AAAAACjz984=")</f>
        <v>#REF!</v>
      </c>
      <c r="GZ47" t="e">
        <f>AND(#REF!,"AAAAACjz988=")</f>
        <v>#REF!</v>
      </c>
      <c r="HA47" t="e">
        <f>AND(#REF!,"AAAAACjz99A=")</f>
        <v>#REF!</v>
      </c>
      <c r="HB47" t="e">
        <f>AND(#REF!,"AAAAACjz99E=")</f>
        <v>#REF!</v>
      </c>
      <c r="HC47" t="e">
        <f>AND(#REF!,"AAAAACjz99I=")</f>
        <v>#REF!</v>
      </c>
      <c r="HD47" t="e">
        <f>AND(#REF!,"AAAAACjz99M=")</f>
        <v>#REF!</v>
      </c>
      <c r="HE47" t="e">
        <f>AND(#REF!,"AAAAACjz99Q=")</f>
        <v>#REF!</v>
      </c>
      <c r="HF47" t="e">
        <f>AND(#REF!,"AAAAACjz99U=")</f>
        <v>#REF!</v>
      </c>
      <c r="HG47" t="e">
        <f>AND(#REF!,"AAAAACjz99Y=")</f>
        <v>#REF!</v>
      </c>
      <c r="HH47" t="e">
        <f>AND(#REF!,"AAAAACjz99c=")</f>
        <v>#REF!</v>
      </c>
      <c r="HI47" t="e">
        <f>AND(#REF!,"AAAAACjz99g=")</f>
        <v>#REF!</v>
      </c>
      <c r="HJ47" t="e">
        <f>AND(#REF!,"AAAAACjz99k=")</f>
        <v>#REF!</v>
      </c>
      <c r="HK47" t="e">
        <f>AND(#REF!,"AAAAACjz99o=")</f>
        <v>#REF!</v>
      </c>
      <c r="HL47" t="e">
        <f>AND(#REF!,"AAAAACjz99s=")</f>
        <v>#REF!</v>
      </c>
      <c r="HM47" t="e">
        <f>AND(#REF!,"AAAAACjz99w=")</f>
        <v>#REF!</v>
      </c>
      <c r="HN47" t="e">
        <f>AND(#REF!,"AAAAACjz990=")</f>
        <v>#REF!</v>
      </c>
      <c r="HO47" t="e">
        <f>AND(#REF!,"AAAAACjz994=")</f>
        <v>#REF!</v>
      </c>
      <c r="HP47" t="e">
        <f>AND(#REF!,"AAAAACjz998=")</f>
        <v>#REF!</v>
      </c>
      <c r="HQ47" t="e">
        <f>AND(#REF!,"AAAAACjz9+A=")</f>
        <v>#REF!</v>
      </c>
      <c r="HR47" t="e">
        <f>AND(#REF!,"AAAAACjz9+E=")</f>
        <v>#REF!</v>
      </c>
      <c r="HS47" t="e">
        <f>AND(#REF!,"AAAAACjz9+I=")</f>
        <v>#REF!</v>
      </c>
      <c r="HT47" t="e">
        <f>AND(#REF!,"AAAAACjz9+M=")</f>
        <v>#REF!</v>
      </c>
      <c r="HU47" t="e">
        <f>AND(#REF!,"AAAAACjz9+Q=")</f>
        <v>#REF!</v>
      </c>
      <c r="HV47" t="e">
        <f>AND(#REF!,"AAAAACjz9+U=")</f>
        <v>#REF!</v>
      </c>
      <c r="HW47" t="e">
        <f>AND(#REF!,"AAAAACjz9+Y=")</f>
        <v>#REF!</v>
      </c>
      <c r="HX47" t="e">
        <f>IF(#REF!,"AAAAACjz9+c=",0)</f>
        <v>#REF!</v>
      </c>
      <c r="HY47" t="e">
        <f>AND(#REF!,"AAAAACjz9+g=")</f>
        <v>#REF!</v>
      </c>
      <c r="HZ47" t="e">
        <f>AND(#REF!,"AAAAACjz9+k=")</f>
        <v>#REF!</v>
      </c>
      <c r="IA47" t="e">
        <f>AND(#REF!,"AAAAACjz9+o=")</f>
        <v>#REF!</v>
      </c>
      <c r="IB47" t="e">
        <f>AND(#REF!,"AAAAACjz9+s=")</f>
        <v>#REF!</v>
      </c>
      <c r="IC47" t="e">
        <f>AND(#REF!,"AAAAACjz9+w=")</f>
        <v>#REF!</v>
      </c>
      <c r="ID47" t="e">
        <f>AND(#REF!,"AAAAACjz9+0=")</f>
        <v>#REF!</v>
      </c>
      <c r="IE47" t="e">
        <f>AND(#REF!,"AAAAACjz9+4=")</f>
        <v>#REF!</v>
      </c>
      <c r="IF47" t="e">
        <f>AND(#REF!,"AAAAACjz9+8=")</f>
        <v>#REF!</v>
      </c>
      <c r="IG47" t="e">
        <f>AND(#REF!,"AAAAACjz9/A=")</f>
        <v>#REF!</v>
      </c>
      <c r="IH47" t="e">
        <f>AND(#REF!,"AAAAACjz9/E=")</f>
        <v>#REF!</v>
      </c>
      <c r="II47" t="e">
        <f>AND(#REF!,"AAAAACjz9/I=")</f>
        <v>#REF!</v>
      </c>
      <c r="IJ47" t="e">
        <f>AND(#REF!,"AAAAACjz9/M=")</f>
        <v>#REF!</v>
      </c>
      <c r="IK47" t="e">
        <f>AND(#REF!,"AAAAACjz9/Q=")</f>
        <v>#REF!</v>
      </c>
      <c r="IL47" t="e">
        <f>AND(#REF!,"AAAAACjz9/U=")</f>
        <v>#REF!</v>
      </c>
      <c r="IM47" t="e">
        <f>AND(#REF!,"AAAAACjz9/Y=")</f>
        <v>#REF!</v>
      </c>
      <c r="IN47" t="e">
        <f>AND(#REF!,"AAAAACjz9/c=")</f>
        <v>#REF!</v>
      </c>
      <c r="IO47" t="e">
        <f>AND(#REF!,"AAAAACjz9/g=")</f>
        <v>#REF!</v>
      </c>
      <c r="IP47" t="e">
        <f>AND(#REF!,"AAAAACjz9/k=")</f>
        <v>#REF!</v>
      </c>
      <c r="IQ47" t="e">
        <f>AND(#REF!,"AAAAACjz9/o=")</f>
        <v>#REF!</v>
      </c>
      <c r="IR47" t="e">
        <f>AND(#REF!,"AAAAACjz9/s=")</f>
        <v>#REF!</v>
      </c>
      <c r="IS47" t="e">
        <f>AND(#REF!,"AAAAACjz9/w=")</f>
        <v>#REF!</v>
      </c>
      <c r="IT47" t="e">
        <f>AND(#REF!,"AAAAACjz9/0=")</f>
        <v>#REF!</v>
      </c>
      <c r="IU47" t="e">
        <f>AND(#REF!,"AAAAACjz9/4=")</f>
        <v>#REF!</v>
      </c>
      <c r="IV47" t="e">
        <f>AND(#REF!,"AAAAACjz9/8=")</f>
        <v>#REF!</v>
      </c>
    </row>
    <row r="48" spans="1:256" x14ac:dyDescent="0.2">
      <c r="A48" t="e">
        <f>AND(#REF!,"AAAAAGvT9wA=")</f>
        <v>#REF!</v>
      </c>
      <c r="B48" t="e">
        <f>AND(#REF!,"AAAAAGvT9wE=")</f>
        <v>#REF!</v>
      </c>
      <c r="C48" t="e">
        <f>AND(#REF!,"AAAAAGvT9wI=")</f>
        <v>#REF!</v>
      </c>
      <c r="D48" t="e">
        <f>AND(#REF!,"AAAAAGvT9wM=")</f>
        <v>#REF!</v>
      </c>
      <c r="E48" t="e">
        <f>AND(#REF!,"AAAAAGvT9wQ=")</f>
        <v>#REF!</v>
      </c>
      <c r="F48" t="e">
        <f>AND(#REF!,"AAAAAGvT9wU=")</f>
        <v>#REF!</v>
      </c>
      <c r="G48" t="e">
        <f>AND(#REF!,"AAAAAGvT9wY=")</f>
        <v>#REF!</v>
      </c>
      <c r="H48" t="e">
        <f>AND(#REF!,"AAAAAGvT9wc=")</f>
        <v>#REF!</v>
      </c>
      <c r="I48" t="e">
        <f>AND(#REF!,"AAAAAGvT9wg=")</f>
        <v>#REF!</v>
      </c>
      <c r="J48" t="e">
        <f>AND(#REF!,"AAAAAGvT9wk=")</f>
        <v>#REF!</v>
      </c>
      <c r="K48" t="e">
        <f>AND(#REF!,"AAAAAGvT9wo=")</f>
        <v>#REF!</v>
      </c>
      <c r="L48" t="e">
        <f>AND(#REF!,"AAAAAGvT9ws=")</f>
        <v>#REF!</v>
      </c>
      <c r="M48" t="e">
        <f>AND(#REF!,"AAAAAGvT9ww=")</f>
        <v>#REF!</v>
      </c>
      <c r="N48" t="e">
        <f>AND(#REF!,"AAAAAGvT9w0=")</f>
        <v>#REF!</v>
      </c>
      <c r="O48" t="e">
        <f>AND(#REF!,"AAAAAGvT9w4=")</f>
        <v>#REF!</v>
      </c>
      <c r="P48" t="e">
        <f>AND(#REF!,"AAAAAGvT9w8=")</f>
        <v>#REF!</v>
      </c>
      <c r="Q48" t="e">
        <f>AND(#REF!,"AAAAAGvT9xA=")</f>
        <v>#REF!</v>
      </c>
      <c r="R48" t="e">
        <f>AND(#REF!,"AAAAAGvT9xE=")</f>
        <v>#REF!</v>
      </c>
      <c r="S48" t="e">
        <f>AND(#REF!,"AAAAAGvT9xI=")</f>
        <v>#REF!</v>
      </c>
      <c r="T48" t="e">
        <f>AND(#REF!,"AAAAAGvT9xM=")</f>
        <v>#REF!</v>
      </c>
      <c r="U48" t="e">
        <f>AND(#REF!,"AAAAAGvT9xQ=")</f>
        <v>#REF!</v>
      </c>
      <c r="V48" t="e">
        <f>AND(#REF!,"AAAAAGvT9xU=")</f>
        <v>#REF!</v>
      </c>
      <c r="W48" t="e">
        <f>AND(#REF!,"AAAAAGvT9xY=")</f>
        <v>#REF!</v>
      </c>
      <c r="X48" t="e">
        <f>AND(#REF!,"AAAAAGvT9xc=")</f>
        <v>#REF!</v>
      </c>
      <c r="Y48" t="e">
        <f>AND(#REF!,"AAAAAGvT9xg=")</f>
        <v>#REF!</v>
      </c>
      <c r="Z48" t="e">
        <f>AND(#REF!,"AAAAAGvT9xk=")</f>
        <v>#REF!</v>
      </c>
      <c r="AA48" t="e">
        <f>AND(#REF!,"AAAAAGvT9xo=")</f>
        <v>#REF!</v>
      </c>
      <c r="AB48" t="e">
        <f>AND(#REF!,"AAAAAGvT9xs=")</f>
        <v>#REF!</v>
      </c>
      <c r="AC48" t="e">
        <f>AND(#REF!,"AAAAAGvT9xw=")</f>
        <v>#REF!</v>
      </c>
      <c r="AD48" t="e">
        <f>AND(#REF!,"AAAAAGvT9x0=")</f>
        <v>#REF!</v>
      </c>
      <c r="AE48" t="e">
        <f>AND(#REF!,"AAAAAGvT9x4=")</f>
        <v>#REF!</v>
      </c>
      <c r="AF48" t="e">
        <f>AND(#REF!,"AAAAAGvT9x8=")</f>
        <v>#REF!</v>
      </c>
      <c r="AG48" t="e">
        <f>AND(#REF!,"AAAAAGvT9yA=")</f>
        <v>#REF!</v>
      </c>
      <c r="AH48" t="e">
        <f>AND(#REF!,"AAAAAGvT9yE=")</f>
        <v>#REF!</v>
      </c>
      <c r="AI48" t="e">
        <f>AND(#REF!,"AAAAAGvT9yI=")</f>
        <v>#REF!</v>
      </c>
      <c r="AJ48" t="e">
        <f>AND(#REF!,"AAAAAGvT9yM=")</f>
        <v>#REF!</v>
      </c>
      <c r="AK48" t="e">
        <f>AND(#REF!,"AAAAAGvT9yQ=")</f>
        <v>#REF!</v>
      </c>
      <c r="AL48" t="e">
        <f>AND(#REF!,"AAAAAGvT9yU=")</f>
        <v>#REF!</v>
      </c>
      <c r="AM48" t="e">
        <f>AND(#REF!,"AAAAAGvT9yY=")</f>
        <v>#REF!</v>
      </c>
      <c r="AN48" t="e">
        <f>AND(#REF!,"AAAAAGvT9yc=")</f>
        <v>#REF!</v>
      </c>
      <c r="AO48" t="e">
        <f>AND(#REF!,"AAAAAGvT9yg=")</f>
        <v>#REF!</v>
      </c>
      <c r="AP48" t="e">
        <f>AND(#REF!,"AAAAAGvT9yk=")</f>
        <v>#REF!</v>
      </c>
      <c r="AQ48" t="e">
        <f>AND(#REF!,"AAAAAGvT9yo=")</f>
        <v>#REF!</v>
      </c>
      <c r="AR48" t="e">
        <f>AND(#REF!,"AAAAAGvT9ys=")</f>
        <v>#REF!</v>
      </c>
      <c r="AS48" t="e">
        <f>AND(#REF!,"AAAAAGvT9yw=")</f>
        <v>#REF!</v>
      </c>
      <c r="AT48" t="e">
        <f>AND(#REF!,"AAAAAGvT9y0=")</f>
        <v>#REF!</v>
      </c>
      <c r="AU48" t="e">
        <f>AND(#REF!,"AAAAAGvT9y4=")</f>
        <v>#REF!</v>
      </c>
      <c r="AV48" t="e">
        <f>AND(#REF!,"AAAAAGvT9y8=")</f>
        <v>#REF!</v>
      </c>
      <c r="AW48" t="e">
        <f>AND(#REF!,"AAAAAGvT9zA=")</f>
        <v>#REF!</v>
      </c>
      <c r="AX48" t="e">
        <f>AND(#REF!,"AAAAAGvT9zE=")</f>
        <v>#REF!</v>
      </c>
      <c r="AY48" t="e">
        <f>IF(#REF!,"AAAAAGvT9zI=",0)</f>
        <v>#REF!</v>
      </c>
      <c r="AZ48" t="e">
        <f>AND(#REF!,"AAAAAGvT9zM=")</f>
        <v>#REF!</v>
      </c>
      <c r="BA48" t="e">
        <f>AND(#REF!,"AAAAAGvT9zQ=")</f>
        <v>#REF!</v>
      </c>
      <c r="BB48" t="e">
        <f>AND(#REF!,"AAAAAGvT9zU=")</f>
        <v>#REF!</v>
      </c>
      <c r="BC48" t="e">
        <f>AND(#REF!,"AAAAAGvT9zY=")</f>
        <v>#REF!</v>
      </c>
      <c r="BD48" t="e">
        <f>AND(#REF!,"AAAAAGvT9zc=")</f>
        <v>#REF!</v>
      </c>
      <c r="BE48" t="e">
        <f>AND(#REF!,"AAAAAGvT9zg=")</f>
        <v>#REF!</v>
      </c>
      <c r="BF48" t="e">
        <f>AND(#REF!,"AAAAAGvT9zk=")</f>
        <v>#REF!</v>
      </c>
      <c r="BG48" t="e">
        <f>AND(#REF!,"AAAAAGvT9zo=")</f>
        <v>#REF!</v>
      </c>
      <c r="BH48" t="e">
        <f>AND(#REF!,"AAAAAGvT9zs=")</f>
        <v>#REF!</v>
      </c>
      <c r="BI48" t="e">
        <f>AND(#REF!,"AAAAAGvT9zw=")</f>
        <v>#REF!</v>
      </c>
      <c r="BJ48" t="e">
        <f>AND(#REF!,"AAAAAGvT9z0=")</f>
        <v>#REF!</v>
      </c>
      <c r="BK48" t="e">
        <f>AND(#REF!,"AAAAAGvT9z4=")</f>
        <v>#REF!</v>
      </c>
      <c r="BL48" t="e">
        <f>AND(#REF!,"AAAAAGvT9z8=")</f>
        <v>#REF!</v>
      </c>
      <c r="BM48" t="e">
        <f>AND(#REF!,"AAAAAGvT90A=")</f>
        <v>#REF!</v>
      </c>
      <c r="BN48" t="e">
        <f>AND(#REF!,"AAAAAGvT90E=")</f>
        <v>#REF!</v>
      </c>
      <c r="BO48" t="e">
        <f>AND(#REF!,"AAAAAGvT90I=")</f>
        <v>#REF!</v>
      </c>
      <c r="BP48" t="e">
        <f>AND(#REF!,"AAAAAGvT90M=")</f>
        <v>#REF!</v>
      </c>
      <c r="BQ48" t="e">
        <f>AND(#REF!,"AAAAAGvT90Q=")</f>
        <v>#REF!</v>
      </c>
      <c r="BR48" t="e">
        <f>AND(#REF!,"AAAAAGvT90U=")</f>
        <v>#REF!</v>
      </c>
      <c r="BS48" t="e">
        <f>AND(#REF!,"AAAAAGvT90Y=")</f>
        <v>#REF!</v>
      </c>
      <c r="BT48" t="e">
        <f>AND(#REF!,"AAAAAGvT90c=")</f>
        <v>#REF!</v>
      </c>
      <c r="BU48" t="e">
        <f>AND(#REF!,"AAAAAGvT90g=")</f>
        <v>#REF!</v>
      </c>
      <c r="BV48" t="e">
        <f>AND(#REF!,"AAAAAGvT90k=")</f>
        <v>#REF!</v>
      </c>
      <c r="BW48" t="e">
        <f>AND(#REF!,"AAAAAGvT90o=")</f>
        <v>#REF!</v>
      </c>
      <c r="BX48" t="e">
        <f>AND(#REF!,"AAAAAGvT90s=")</f>
        <v>#REF!</v>
      </c>
      <c r="BY48" t="e">
        <f>AND(#REF!,"AAAAAGvT90w=")</f>
        <v>#REF!</v>
      </c>
      <c r="BZ48" t="e">
        <f>AND(#REF!,"AAAAAGvT900=")</f>
        <v>#REF!</v>
      </c>
      <c r="CA48" t="e">
        <f>AND(#REF!,"AAAAAGvT904=")</f>
        <v>#REF!</v>
      </c>
      <c r="CB48" t="e">
        <f>AND(#REF!,"AAAAAGvT908=")</f>
        <v>#REF!</v>
      </c>
      <c r="CC48" t="e">
        <f>AND(#REF!,"AAAAAGvT91A=")</f>
        <v>#REF!</v>
      </c>
      <c r="CD48" t="e">
        <f>AND(#REF!,"AAAAAGvT91E=")</f>
        <v>#REF!</v>
      </c>
      <c r="CE48" t="e">
        <f>AND(#REF!,"AAAAAGvT91I=")</f>
        <v>#REF!</v>
      </c>
      <c r="CF48" t="e">
        <f>AND(#REF!,"AAAAAGvT91M=")</f>
        <v>#REF!</v>
      </c>
      <c r="CG48" t="e">
        <f>AND(#REF!,"AAAAAGvT91Q=")</f>
        <v>#REF!</v>
      </c>
      <c r="CH48" t="e">
        <f>AND(#REF!,"AAAAAGvT91U=")</f>
        <v>#REF!</v>
      </c>
      <c r="CI48" t="e">
        <f>AND(#REF!,"AAAAAGvT91Y=")</f>
        <v>#REF!</v>
      </c>
      <c r="CJ48" t="e">
        <f>AND(#REF!,"AAAAAGvT91c=")</f>
        <v>#REF!</v>
      </c>
      <c r="CK48" t="e">
        <f>AND(#REF!,"AAAAAGvT91g=")</f>
        <v>#REF!</v>
      </c>
      <c r="CL48" t="e">
        <f>AND(#REF!,"AAAAAGvT91k=")</f>
        <v>#REF!</v>
      </c>
      <c r="CM48" t="e">
        <f>AND(#REF!,"AAAAAGvT91o=")</f>
        <v>#REF!</v>
      </c>
      <c r="CN48" t="e">
        <f>AND(#REF!,"AAAAAGvT91s=")</f>
        <v>#REF!</v>
      </c>
      <c r="CO48" t="e">
        <f>AND(#REF!,"AAAAAGvT91w=")</f>
        <v>#REF!</v>
      </c>
      <c r="CP48" t="e">
        <f>AND(#REF!,"AAAAAGvT910=")</f>
        <v>#REF!</v>
      </c>
      <c r="CQ48" t="e">
        <f>AND(#REF!,"AAAAAGvT914=")</f>
        <v>#REF!</v>
      </c>
      <c r="CR48" t="e">
        <f>AND(#REF!,"AAAAAGvT918=")</f>
        <v>#REF!</v>
      </c>
      <c r="CS48" t="e">
        <f>AND(#REF!,"AAAAAGvT92A=")</f>
        <v>#REF!</v>
      </c>
      <c r="CT48" t="e">
        <f>AND(#REF!,"AAAAAGvT92E=")</f>
        <v>#REF!</v>
      </c>
      <c r="CU48" t="e">
        <f>AND(#REF!,"AAAAAGvT92I=")</f>
        <v>#REF!</v>
      </c>
      <c r="CV48" t="e">
        <f>AND(#REF!,"AAAAAGvT92M=")</f>
        <v>#REF!</v>
      </c>
      <c r="CW48" t="e">
        <f>AND(#REF!,"AAAAAGvT92Q=")</f>
        <v>#REF!</v>
      </c>
      <c r="CX48" t="e">
        <f>AND(#REF!,"AAAAAGvT92U=")</f>
        <v>#REF!</v>
      </c>
      <c r="CY48" t="e">
        <f>AND(#REF!,"AAAAAGvT92Y=")</f>
        <v>#REF!</v>
      </c>
      <c r="CZ48" t="e">
        <f>AND(#REF!,"AAAAAGvT92c=")</f>
        <v>#REF!</v>
      </c>
      <c r="DA48" t="e">
        <f>AND(#REF!,"AAAAAGvT92g=")</f>
        <v>#REF!</v>
      </c>
      <c r="DB48" t="e">
        <f>AND(#REF!,"AAAAAGvT92k=")</f>
        <v>#REF!</v>
      </c>
      <c r="DC48" t="e">
        <f>AND(#REF!,"AAAAAGvT92o=")</f>
        <v>#REF!</v>
      </c>
      <c r="DD48" t="e">
        <f>AND(#REF!,"AAAAAGvT92s=")</f>
        <v>#REF!</v>
      </c>
      <c r="DE48" t="e">
        <f>AND(#REF!,"AAAAAGvT92w=")</f>
        <v>#REF!</v>
      </c>
      <c r="DF48" t="e">
        <f>AND(#REF!,"AAAAAGvT920=")</f>
        <v>#REF!</v>
      </c>
      <c r="DG48" t="e">
        <f>AND(#REF!,"AAAAAGvT924=")</f>
        <v>#REF!</v>
      </c>
      <c r="DH48" t="e">
        <f>AND(#REF!,"AAAAAGvT928=")</f>
        <v>#REF!</v>
      </c>
      <c r="DI48" t="e">
        <f>AND(#REF!,"AAAAAGvT93A=")</f>
        <v>#REF!</v>
      </c>
      <c r="DJ48" t="e">
        <f>AND(#REF!,"AAAAAGvT93E=")</f>
        <v>#REF!</v>
      </c>
      <c r="DK48" t="e">
        <f>AND(#REF!,"AAAAAGvT93I=")</f>
        <v>#REF!</v>
      </c>
      <c r="DL48" t="e">
        <f>AND(#REF!,"AAAAAGvT93M=")</f>
        <v>#REF!</v>
      </c>
      <c r="DM48" t="e">
        <f>AND(#REF!,"AAAAAGvT93Q=")</f>
        <v>#REF!</v>
      </c>
      <c r="DN48" t="e">
        <f>AND(#REF!,"AAAAAGvT93U=")</f>
        <v>#REF!</v>
      </c>
      <c r="DO48" t="e">
        <f>AND(#REF!,"AAAAAGvT93Y=")</f>
        <v>#REF!</v>
      </c>
      <c r="DP48" t="e">
        <f>AND(#REF!,"AAAAAGvT93c=")</f>
        <v>#REF!</v>
      </c>
      <c r="DQ48" t="e">
        <f>AND(#REF!,"AAAAAGvT93g=")</f>
        <v>#REF!</v>
      </c>
      <c r="DR48" t="e">
        <f>AND(#REF!,"AAAAAGvT93k=")</f>
        <v>#REF!</v>
      </c>
      <c r="DS48" t="e">
        <f>AND(#REF!,"AAAAAGvT93o=")</f>
        <v>#REF!</v>
      </c>
      <c r="DT48" t="e">
        <f>AND(#REF!,"AAAAAGvT93s=")</f>
        <v>#REF!</v>
      </c>
      <c r="DU48" t="e">
        <f>AND(#REF!,"AAAAAGvT93w=")</f>
        <v>#REF!</v>
      </c>
      <c r="DV48" t="e">
        <f>IF(#REF!,"AAAAAGvT930=",0)</f>
        <v>#REF!</v>
      </c>
      <c r="DW48" t="e">
        <f>AND(#REF!,"AAAAAGvT934=")</f>
        <v>#REF!</v>
      </c>
      <c r="DX48" t="e">
        <f>AND(#REF!,"AAAAAGvT938=")</f>
        <v>#REF!</v>
      </c>
      <c r="DY48" t="e">
        <f>AND(#REF!,"AAAAAGvT94A=")</f>
        <v>#REF!</v>
      </c>
      <c r="DZ48" t="e">
        <f>AND(#REF!,"AAAAAGvT94E=")</f>
        <v>#REF!</v>
      </c>
      <c r="EA48" t="e">
        <f>AND(#REF!,"AAAAAGvT94I=")</f>
        <v>#REF!</v>
      </c>
      <c r="EB48" t="e">
        <f>AND(#REF!,"AAAAAGvT94M=")</f>
        <v>#REF!</v>
      </c>
      <c r="EC48" t="e">
        <f>AND(#REF!,"AAAAAGvT94Q=")</f>
        <v>#REF!</v>
      </c>
      <c r="ED48" t="e">
        <f>AND(#REF!,"AAAAAGvT94U=")</f>
        <v>#REF!</v>
      </c>
      <c r="EE48" t="e">
        <f>AND(#REF!,"AAAAAGvT94Y=")</f>
        <v>#REF!</v>
      </c>
      <c r="EF48" t="e">
        <f>AND(#REF!,"AAAAAGvT94c=")</f>
        <v>#REF!</v>
      </c>
      <c r="EG48" t="e">
        <f>AND(#REF!,"AAAAAGvT94g=")</f>
        <v>#REF!</v>
      </c>
      <c r="EH48" t="e">
        <f>AND(#REF!,"AAAAAGvT94k=")</f>
        <v>#REF!</v>
      </c>
      <c r="EI48" t="e">
        <f>AND(#REF!,"AAAAAGvT94o=")</f>
        <v>#REF!</v>
      </c>
      <c r="EJ48" t="e">
        <f>AND(#REF!,"AAAAAGvT94s=")</f>
        <v>#REF!</v>
      </c>
      <c r="EK48" t="e">
        <f>AND(#REF!,"AAAAAGvT94w=")</f>
        <v>#REF!</v>
      </c>
      <c r="EL48" t="e">
        <f>AND(#REF!,"AAAAAGvT940=")</f>
        <v>#REF!</v>
      </c>
      <c r="EM48" t="e">
        <f>AND(#REF!,"AAAAAGvT944=")</f>
        <v>#REF!</v>
      </c>
      <c r="EN48" t="e">
        <f>AND(#REF!,"AAAAAGvT948=")</f>
        <v>#REF!</v>
      </c>
      <c r="EO48" t="e">
        <f>AND(#REF!,"AAAAAGvT95A=")</f>
        <v>#REF!</v>
      </c>
      <c r="EP48" t="e">
        <f>AND(#REF!,"AAAAAGvT95E=")</f>
        <v>#REF!</v>
      </c>
      <c r="EQ48" t="e">
        <f>AND(#REF!,"AAAAAGvT95I=")</f>
        <v>#REF!</v>
      </c>
      <c r="ER48" t="e">
        <f>AND(#REF!,"AAAAAGvT95M=")</f>
        <v>#REF!</v>
      </c>
      <c r="ES48" t="e">
        <f>AND(#REF!,"AAAAAGvT95Q=")</f>
        <v>#REF!</v>
      </c>
      <c r="ET48" t="e">
        <f>AND(#REF!,"AAAAAGvT95U=")</f>
        <v>#REF!</v>
      </c>
      <c r="EU48" t="e">
        <f>AND(#REF!,"AAAAAGvT95Y=")</f>
        <v>#REF!</v>
      </c>
      <c r="EV48" t="e">
        <f>AND(#REF!,"AAAAAGvT95c=")</f>
        <v>#REF!</v>
      </c>
      <c r="EW48" t="e">
        <f>AND(#REF!,"AAAAAGvT95g=")</f>
        <v>#REF!</v>
      </c>
      <c r="EX48" t="e">
        <f>AND(#REF!,"AAAAAGvT95k=")</f>
        <v>#REF!</v>
      </c>
      <c r="EY48" t="e">
        <f>AND(#REF!,"AAAAAGvT95o=")</f>
        <v>#REF!</v>
      </c>
      <c r="EZ48" t="e">
        <f>AND(#REF!,"AAAAAGvT95s=")</f>
        <v>#REF!</v>
      </c>
      <c r="FA48" t="e">
        <f>AND(#REF!,"AAAAAGvT95w=")</f>
        <v>#REF!</v>
      </c>
      <c r="FB48" t="e">
        <f>AND(#REF!,"AAAAAGvT950=")</f>
        <v>#REF!</v>
      </c>
      <c r="FC48" t="e">
        <f>AND(#REF!,"AAAAAGvT954=")</f>
        <v>#REF!</v>
      </c>
      <c r="FD48" t="e">
        <f>AND(#REF!,"AAAAAGvT958=")</f>
        <v>#REF!</v>
      </c>
      <c r="FE48" t="e">
        <f>AND(#REF!,"AAAAAGvT96A=")</f>
        <v>#REF!</v>
      </c>
      <c r="FF48" t="e">
        <f>AND(#REF!,"AAAAAGvT96E=")</f>
        <v>#REF!</v>
      </c>
      <c r="FG48" t="e">
        <f>AND(#REF!,"AAAAAGvT96I=")</f>
        <v>#REF!</v>
      </c>
      <c r="FH48" t="e">
        <f>AND(#REF!,"AAAAAGvT96M=")</f>
        <v>#REF!</v>
      </c>
      <c r="FI48" t="e">
        <f>AND(#REF!,"AAAAAGvT96Q=")</f>
        <v>#REF!</v>
      </c>
      <c r="FJ48" t="e">
        <f>AND(#REF!,"AAAAAGvT96U=")</f>
        <v>#REF!</v>
      </c>
      <c r="FK48" t="e">
        <f>AND(#REF!,"AAAAAGvT96Y=")</f>
        <v>#REF!</v>
      </c>
      <c r="FL48" t="e">
        <f>AND(#REF!,"AAAAAGvT96c=")</f>
        <v>#REF!</v>
      </c>
      <c r="FM48" t="e">
        <f>AND(#REF!,"AAAAAGvT96g=")</f>
        <v>#REF!</v>
      </c>
      <c r="FN48" t="e">
        <f>AND(#REF!,"AAAAAGvT96k=")</f>
        <v>#REF!</v>
      </c>
      <c r="FO48" t="e">
        <f>AND(#REF!,"AAAAAGvT96o=")</f>
        <v>#REF!</v>
      </c>
      <c r="FP48" t="e">
        <f>AND(#REF!,"AAAAAGvT96s=")</f>
        <v>#REF!</v>
      </c>
      <c r="FQ48" t="e">
        <f>AND(#REF!,"AAAAAGvT96w=")</f>
        <v>#REF!</v>
      </c>
      <c r="FR48" t="e">
        <f>AND(#REF!,"AAAAAGvT960=")</f>
        <v>#REF!</v>
      </c>
      <c r="FS48" t="e">
        <f>AND(#REF!,"AAAAAGvT964=")</f>
        <v>#REF!</v>
      </c>
      <c r="FT48" t="e">
        <f>AND(#REF!,"AAAAAGvT968=")</f>
        <v>#REF!</v>
      </c>
      <c r="FU48" t="e">
        <f>AND(#REF!,"AAAAAGvT97A=")</f>
        <v>#REF!</v>
      </c>
      <c r="FV48" t="e">
        <f>AND(#REF!,"AAAAAGvT97E=")</f>
        <v>#REF!</v>
      </c>
      <c r="FW48" t="e">
        <f>AND(#REF!,"AAAAAGvT97I=")</f>
        <v>#REF!</v>
      </c>
      <c r="FX48" t="e">
        <f>AND(#REF!,"AAAAAGvT97M=")</f>
        <v>#REF!</v>
      </c>
      <c r="FY48" t="e">
        <f>AND(#REF!,"AAAAAGvT97Q=")</f>
        <v>#REF!</v>
      </c>
      <c r="FZ48" t="e">
        <f>AND(#REF!,"AAAAAGvT97U=")</f>
        <v>#REF!</v>
      </c>
      <c r="GA48" t="e">
        <f>AND(#REF!,"AAAAAGvT97Y=")</f>
        <v>#REF!</v>
      </c>
      <c r="GB48" t="e">
        <f>AND(#REF!,"AAAAAGvT97c=")</f>
        <v>#REF!</v>
      </c>
      <c r="GC48" t="e">
        <f>AND(#REF!,"AAAAAGvT97g=")</f>
        <v>#REF!</v>
      </c>
      <c r="GD48" t="e">
        <f>AND(#REF!,"AAAAAGvT97k=")</f>
        <v>#REF!</v>
      </c>
      <c r="GE48" t="e">
        <f>AND(#REF!,"AAAAAGvT97o=")</f>
        <v>#REF!</v>
      </c>
      <c r="GF48" t="e">
        <f>AND(#REF!,"AAAAAGvT97s=")</f>
        <v>#REF!</v>
      </c>
      <c r="GG48" t="e">
        <f>AND(#REF!,"AAAAAGvT97w=")</f>
        <v>#REF!</v>
      </c>
      <c r="GH48" t="e">
        <f>AND(#REF!,"AAAAAGvT970=")</f>
        <v>#REF!</v>
      </c>
      <c r="GI48" t="e">
        <f>AND(#REF!,"AAAAAGvT974=")</f>
        <v>#REF!</v>
      </c>
      <c r="GJ48" t="e">
        <f>AND(#REF!,"AAAAAGvT978=")</f>
        <v>#REF!</v>
      </c>
      <c r="GK48" t="e">
        <f>AND(#REF!,"AAAAAGvT98A=")</f>
        <v>#REF!</v>
      </c>
      <c r="GL48" t="e">
        <f>AND(#REF!,"AAAAAGvT98E=")</f>
        <v>#REF!</v>
      </c>
      <c r="GM48" t="e">
        <f>AND(#REF!,"AAAAAGvT98I=")</f>
        <v>#REF!</v>
      </c>
      <c r="GN48" t="e">
        <f>AND(#REF!,"AAAAAGvT98M=")</f>
        <v>#REF!</v>
      </c>
      <c r="GO48" t="e">
        <f>AND(#REF!,"AAAAAGvT98Q=")</f>
        <v>#REF!</v>
      </c>
      <c r="GP48" t="e">
        <f>AND(#REF!,"AAAAAGvT98U=")</f>
        <v>#REF!</v>
      </c>
      <c r="GQ48" t="e">
        <f>AND(#REF!,"AAAAAGvT98Y=")</f>
        <v>#REF!</v>
      </c>
      <c r="GR48" t="e">
        <f>AND(#REF!,"AAAAAGvT98c=")</f>
        <v>#REF!</v>
      </c>
      <c r="GS48" t="e">
        <f>IF(#REF!,"AAAAAGvT98g=",0)</f>
        <v>#REF!</v>
      </c>
      <c r="GT48" t="e">
        <f>AND(#REF!,"AAAAAGvT98k=")</f>
        <v>#REF!</v>
      </c>
      <c r="GU48" t="e">
        <f>AND(#REF!,"AAAAAGvT98o=")</f>
        <v>#REF!</v>
      </c>
      <c r="GV48" t="e">
        <f>AND(#REF!,"AAAAAGvT98s=")</f>
        <v>#REF!</v>
      </c>
      <c r="GW48" t="e">
        <f>AND(#REF!,"AAAAAGvT98w=")</f>
        <v>#REF!</v>
      </c>
      <c r="GX48" t="e">
        <f>AND(#REF!,"AAAAAGvT980=")</f>
        <v>#REF!</v>
      </c>
      <c r="GY48" t="e">
        <f>AND(#REF!,"AAAAAGvT984=")</f>
        <v>#REF!</v>
      </c>
      <c r="GZ48" t="e">
        <f>AND(#REF!,"AAAAAGvT988=")</f>
        <v>#REF!</v>
      </c>
      <c r="HA48" t="e">
        <f>AND(#REF!,"AAAAAGvT99A=")</f>
        <v>#REF!</v>
      </c>
      <c r="HB48" t="e">
        <f>AND(#REF!,"AAAAAGvT99E=")</f>
        <v>#REF!</v>
      </c>
      <c r="HC48" t="e">
        <f>AND(#REF!,"AAAAAGvT99I=")</f>
        <v>#REF!</v>
      </c>
      <c r="HD48" t="e">
        <f>AND(#REF!,"AAAAAGvT99M=")</f>
        <v>#REF!</v>
      </c>
      <c r="HE48" t="e">
        <f>AND(#REF!,"AAAAAGvT99Q=")</f>
        <v>#REF!</v>
      </c>
      <c r="HF48" t="e">
        <f>AND(#REF!,"AAAAAGvT99U=")</f>
        <v>#REF!</v>
      </c>
      <c r="HG48" t="e">
        <f>AND(#REF!,"AAAAAGvT99Y=")</f>
        <v>#REF!</v>
      </c>
      <c r="HH48" t="e">
        <f>AND(#REF!,"AAAAAGvT99c=")</f>
        <v>#REF!</v>
      </c>
      <c r="HI48" t="e">
        <f>AND(#REF!,"AAAAAGvT99g=")</f>
        <v>#REF!</v>
      </c>
      <c r="HJ48" t="e">
        <f>AND(#REF!,"AAAAAGvT99k=")</f>
        <v>#REF!</v>
      </c>
      <c r="HK48" t="e">
        <f>AND(#REF!,"AAAAAGvT99o=")</f>
        <v>#REF!</v>
      </c>
      <c r="HL48" t="e">
        <f>AND(#REF!,"AAAAAGvT99s=")</f>
        <v>#REF!</v>
      </c>
      <c r="HM48" t="e">
        <f>AND(#REF!,"AAAAAGvT99w=")</f>
        <v>#REF!</v>
      </c>
      <c r="HN48" t="e">
        <f>AND(#REF!,"AAAAAGvT990=")</f>
        <v>#REF!</v>
      </c>
      <c r="HO48" t="e">
        <f>AND(#REF!,"AAAAAGvT994=")</f>
        <v>#REF!</v>
      </c>
      <c r="HP48" t="e">
        <f>AND(#REF!,"AAAAAGvT998=")</f>
        <v>#REF!</v>
      </c>
      <c r="HQ48" t="e">
        <f>AND(#REF!,"AAAAAGvT9+A=")</f>
        <v>#REF!</v>
      </c>
      <c r="HR48" t="e">
        <f>AND(#REF!,"AAAAAGvT9+E=")</f>
        <v>#REF!</v>
      </c>
      <c r="HS48" t="e">
        <f>AND(#REF!,"AAAAAGvT9+I=")</f>
        <v>#REF!</v>
      </c>
      <c r="HT48" t="e">
        <f>AND(#REF!,"AAAAAGvT9+M=")</f>
        <v>#REF!</v>
      </c>
      <c r="HU48" t="e">
        <f>AND(#REF!,"AAAAAGvT9+Q=")</f>
        <v>#REF!</v>
      </c>
      <c r="HV48" t="e">
        <f>AND(#REF!,"AAAAAGvT9+U=")</f>
        <v>#REF!</v>
      </c>
      <c r="HW48" t="e">
        <f>AND(#REF!,"AAAAAGvT9+Y=")</f>
        <v>#REF!</v>
      </c>
      <c r="HX48" t="e">
        <f>AND(#REF!,"AAAAAGvT9+c=")</f>
        <v>#REF!</v>
      </c>
      <c r="HY48" t="e">
        <f>AND(#REF!,"AAAAAGvT9+g=")</f>
        <v>#REF!</v>
      </c>
      <c r="HZ48" t="e">
        <f>AND(#REF!,"AAAAAGvT9+k=")</f>
        <v>#REF!</v>
      </c>
      <c r="IA48" t="e">
        <f>AND(#REF!,"AAAAAGvT9+o=")</f>
        <v>#REF!</v>
      </c>
      <c r="IB48" t="e">
        <f>AND(#REF!,"AAAAAGvT9+s=")</f>
        <v>#REF!</v>
      </c>
      <c r="IC48" t="e">
        <f>AND(#REF!,"AAAAAGvT9+w=")</f>
        <v>#REF!</v>
      </c>
      <c r="ID48" t="e">
        <f>AND(#REF!,"AAAAAGvT9+0=")</f>
        <v>#REF!</v>
      </c>
      <c r="IE48" t="e">
        <f>AND(#REF!,"AAAAAGvT9+4=")</f>
        <v>#REF!</v>
      </c>
      <c r="IF48" t="e">
        <f>AND(#REF!,"AAAAAGvT9+8=")</f>
        <v>#REF!</v>
      </c>
      <c r="IG48" t="e">
        <f>AND(#REF!,"AAAAAGvT9/A=")</f>
        <v>#REF!</v>
      </c>
      <c r="IH48" t="e">
        <f>AND(#REF!,"AAAAAGvT9/E=")</f>
        <v>#REF!</v>
      </c>
      <c r="II48" t="e">
        <f>AND(#REF!,"AAAAAGvT9/I=")</f>
        <v>#REF!</v>
      </c>
      <c r="IJ48" t="e">
        <f>AND(#REF!,"AAAAAGvT9/M=")</f>
        <v>#REF!</v>
      </c>
      <c r="IK48" t="e">
        <f>AND(#REF!,"AAAAAGvT9/Q=")</f>
        <v>#REF!</v>
      </c>
      <c r="IL48" t="e">
        <f>AND(#REF!,"AAAAAGvT9/U=")</f>
        <v>#REF!</v>
      </c>
      <c r="IM48" t="e">
        <f>AND(#REF!,"AAAAAGvT9/Y=")</f>
        <v>#REF!</v>
      </c>
      <c r="IN48" t="e">
        <f>AND(#REF!,"AAAAAGvT9/c=")</f>
        <v>#REF!</v>
      </c>
      <c r="IO48" t="e">
        <f>AND(#REF!,"AAAAAGvT9/g=")</f>
        <v>#REF!</v>
      </c>
      <c r="IP48" t="e">
        <f>AND(#REF!,"AAAAAGvT9/k=")</f>
        <v>#REF!</v>
      </c>
      <c r="IQ48" t="e">
        <f>AND(#REF!,"AAAAAGvT9/o=")</f>
        <v>#REF!</v>
      </c>
      <c r="IR48" t="e">
        <f>AND(#REF!,"AAAAAGvT9/s=")</f>
        <v>#REF!</v>
      </c>
      <c r="IS48" t="e">
        <f>AND(#REF!,"AAAAAGvT9/w=")</f>
        <v>#REF!</v>
      </c>
      <c r="IT48" t="e">
        <f>AND(#REF!,"AAAAAGvT9/0=")</f>
        <v>#REF!</v>
      </c>
      <c r="IU48" t="e">
        <f>AND(#REF!,"AAAAAGvT9/4=")</f>
        <v>#REF!</v>
      </c>
      <c r="IV48" t="e">
        <f>AND(#REF!,"AAAAAGvT9/8=")</f>
        <v>#REF!</v>
      </c>
    </row>
    <row r="49" spans="1:256" x14ac:dyDescent="0.2">
      <c r="A49" t="e">
        <f>AND(#REF!,"AAAAAH/PbwA=")</f>
        <v>#REF!</v>
      </c>
      <c r="B49" t="e">
        <f>AND(#REF!,"AAAAAH/PbwE=")</f>
        <v>#REF!</v>
      </c>
      <c r="C49" t="e">
        <f>AND(#REF!,"AAAAAH/PbwI=")</f>
        <v>#REF!</v>
      </c>
      <c r="D49" t="e">
        <f>AND(#REF!,"AAAAAH/PbwM=")</f>
        <v>#REF!</v>
      </c>
      <c r="E49" t="e">
        <f>AND(#REF!,"AAAAAH/PbwQ=")</f>
        <v>#REF!</v>
      </c>
      <c r="F49" t="e">
        <f>AND(#REF!,"AAAAAH/PbwU=")</f>
        <v>#REF!</v>
      </c>
      <c r="G49" t="e">
        <f>AND(#REF!,"AAAAAH/PbwY=")</f>
        <v>#REF!</v>
      </c>
      <c r="H49" t="e">
        <f>AND(#REF!,"AAAAAH/Pbwc=")</f>
        <v>#REF!</v>
      </c>
      <c r="I49" t="e">
        <f>AND(#REF!,"AAAAAH/Pbwg=")</f>
        <v>#REF!</v>
      </c>
      <c r="J49" t="e">
        <f>AND(#REF!,"AAAAAH/Pbwk=")</f>
        <v>#REF!</v>
      </c>
      <c r="K49" t="e">
        <f>AND(#REF!,"AAAAAH/Pbwo=")</f>
        <v>#REF!</v>
      </c>
      <c r="L49" t="e">
        <f>AND(#REF!,"AAAAAH/Pbws=")</f>
        <v>#REF!</v>
      </c>
      <c r="M49" t="e">
        <f>AND(#REF!,"AAAAAH/Pbww=")</f>
        <v>#REF!</v>
      </c>
      <c r="N49" t="e">
        <f>AND(#REF!,"AAAAAH/Pbw0=")</f>
        <v>#REF!</v>
      </c>
      <c r="O49" t="e">
        <f>AND(#REF!,"AAAAAH/Pbw4=")</f>
        <v>#REF!</v>
      </c>
      <c r="P49" t="e">
        <f>AND(#REF!,"AAAAAH/Pbw8=")</f>
        <v>#REF!</v>
      </c>
      <c r="Q49" t="e">
        <f>AND(#REF!,"AAAAAH/PbxA=")</f>
        <v>#REF!</v>
      </c>
      <c r="R49" t="e">
        <f>AND(#REF!,"AAAAAH/PbxE=")</f>
        <v>#REF!</v>
      </c>
      <c r="S49" t="e">
        <f>AND(#REF!,"AAAAAH/PbxI=")</f>
        <v>#REF!</v>
      </c>
      <c r="T49" t="e">
        <f>IF(#REF!,"AAAAAH/PbxM=",0)</f>
        <v>#REF!</v>
      </c>
      <c r="U49" t="e">
        <f>AND(#REF!,"AAAAAH/PbxQ=")</f>
        <v>#REF!</v>
      </c>
      <c r="V49" t="e">
        <f>AND(#REF!,"AAAAAH/PbxU=")</f>
        <v>#REF!</v>
      </c>
      <c r="W49" t="e">
        <f>AND(#REF!,"AAAAAH/PbxY=")</f>
        <v>#REF!</v>
      </c>
      <c r="X49" t="e">
        <f>AND(#REF!,"AAAAAH/Pbxc=")</f>
        <v>#REF!</v>
      </c>
      <c r="Y49" t="e">
        <f>AND(#REF!,"AAAAAH/Pbxg=")</f>
        <v>#REF!</v>
      </c>
      <c r="Z49" t="e">
        <f>AND(#REF!,"AAAAAH/Pbxk=")</f>
        <v>#REF!</v>
      </c>
      <c r="AA49" t="e">
        <f>AND(#REF!,"AAAAAH/Pbxo=")</f>
        <v>#REF!</v>
      </c>
      <c r="AB49" t="e">
        <f>AND(#REF!,"AAAAAH/Pbxs=")</f>
        <v>#REF!</v>
      </c>
      <c r="AC49" t="e">
        <f>AND(#REF!,"AAAAAH/Pbxw=")</f>
        <v>#REF!</v>
      </c>
      <c r="AD49" t="e">
        <f>AND(#REF!,"AAAAAH/Pbx0=")</f>
        <v>#REF!</v>
      </c>
      <c r="AE49" t="e">
        <f>AND(#REF!,"AAAAAH/Pbx4=")</f>
        <v>#REF!</v>
      </c>
      <c r="AF49" t="e">
        <f>AND(#REF!,"AAAAAH/Pbx8=")</f>
        <v>#REF!</v>
      </c>
      <c r="AG49" t="e">
        <f>AND(#REF!,"AAAAAH/PbyA=")</f>
        <v>#REF!</v>
      </c>
      <c r="AH49" t="e">
        <f>AND(#REF!,"AAAAAH/PbyE=")</f>
        <v>#REF!</v>
      </c>
      <c r="AI49" t="e">
        <f>AND(#REF!,"AAAAAH/PbyI=")</f>
        <v>#REF!</v>
      </c>
      <c r="AJ49" t="e">
        <f>AND(#REF!,"AAAAAH/PbyM=")</f>
        <v>#REF!</v>
      </c>
      <c r="AK49" t="e">
        <f>AND(#REF!,"AAAAAH/PbyQ=")</f>
        <v>#REF!</v>
      </c>
      <c r="AL49" t="e">
        <f>AND(#REF!,"AAAAAH/PbyU=")</f>
        <v>#REF!</v>
      </c>
      <c r="AM49" t="e">
        <f>AND(#REF!,"AAAAAH/PbyY=")</f>
        <v>#REF!</v>
      </c>
      <c r="AN49" t="e">
        <f>AND(#REF!,"AAAAAH/Pbyc=")</f>
        <v>#REF!</v>
      </c>
      <c r="AO49" t="e">
        <f>AND(#REF!,"AAAAAH/Pbyg=")</f>
        <v>#REF!</v>
      </c>
      <c r="AP49" t="e">
        <f>AND(#REF!,"AAAAAH/Pbyk=")</f>
        <v>#REF!</v>
      </c>
      <c r="AQ49" t="e">
        <f>AND(#REF!,"AAAAAH/Pbyo=")</f>
        <v>#REF!</v>
      </c>
      <c r="AR49" t="e">
        <f>AND(#REF!,"AAAAAH/Pbys=")</f>
        <v>#REF!</v>
      </c>
      <c r="AS49" t="e">
        <f>AND(#REF!,"AAAAAH/Pbyw=")</f>
        <v>#REF!</v>
      </c>
      <c r="AT49" t="e">
        <f>AND(#REF!,"AAAAAH/Pby0=")</f>
        <v>#REF!</v>
      </c>
      <c r="AU49" t="e">
        <f>AND(#REF!,"AAAAAH/Pby4=")</f>
        <v>#REF!</v>
      </c>
      <c r="AV49" t="e">
        <f>AND(#REF!,"AAAAAH/Pby8=")</f>
        <v>#REF!</v>
      </c>
      <c r="AW49" t="e">
        <f>AND(#REF!,"AAAAAH/PbzA=")</f>
        <v>#REF!</v>
      </c>
      <c r="AX49" t="e">
        <f>AND(#REF!,"AAAAAH/PbzE=")</f>
        <v>#REF!</v>
      </c>
      <c r="AY49" t="e">
        <f>AND(#REF!,"AAAAAH/PbzI=")</f>
        <v>#REF!</v>
      </c>
      <c r="AZ49" t="e">
        <f>AND(#REF!,"AAAAAH/PbzM=")</f>
        <v>#REF!</v>
      </c>
      <c r="BA49" t="e">
        <f>AND(#REF!,"AAAAAH/PbzQ=")</f>
        <v>#REF!</v>
      </c>
      <c r="BB49" t="e">
        <f>AND(#REF!,"AAAAAH/PbzU=")</f>
        <v>#REF!</v>
      </c>
      <c r="BC49" t="e">
        <f>AND(#REF!,"AAAAAH/PbzY=")</f>
        <v>#REF!</v>
      </c>
      <c r="BD49" t="e">
        <f>AND(#REF!,"AAAAAH/Pbzc=")</f>
        <v>#REF!</v>
      </c>
      <c r="BE49" t="e">
        <f>AND(#REF!,"AAAAAH/Pbzg=")</f>
        <v>#REF!</v>
      </c>
      <c r="BF49" t="e">
        <f>AND(#REF!,"AAAAAH/Pbzk=")</f>
        <v>#REF!</v>
      </c>
      <c r="BG49" t="e">
        <f>AND(#REF!,"AAAAAH/Pbzo=")</f>
        <v>#REF!</v>
      </c>
      <c r="BH49" t="e">
        <f>AND(#REF!,"AAAAAH/Pbzs=")</f>
        <v>#REF!</v>
      </c>
      <c r="BI49" t="e">
        <f>AND(#REF!,"AAAAAH/Pbzw=")</f>
        <v>#REF!</v>
      </c>
      <c r="BJ49" t="e">
        <f>AND(#REF!,"AAAAAH/Pbz0=")</f>
        <v>#REF!</v>
      </c>
      <c r="BK49" t="e">
        <f>AND(#REF!,"AAAAAH/Pbz4=")</f>
        <v>#REF!</v>
      </c>
      <c r="BL49" t="e">
        <f>AND(#REF!,"AAAAAH/Pbz8=")</f>
        <v>#REF!</v>
      </c>
      <c r="BM49" t="e">
        <f>AND(#REF!,"AAAAAH/Pb0A=")</f>
        <v>#REF!</v>
      </c>
      <c r="BN49" t="e">
        <f>AND(#REF!,"AAAAAH/Pb0E=")</f>
        <v>#REF!</v>
      </c>
      <c r="BO49" t="e">
        <f>AND(#REF!,"AAAAAH/Pb0I=")</f>
        <v>#REF!</v>
      </c>
      <c r="BP49" t="e">
        <f>AND(#REF!,"AAAAAH/Pb0M=")</f>
        <v>#REF!</v>
      </c>
      <c r="BQ49" t="e">
        <f>AND(#REF!,"AAAAAH/Pb0Q=")</f>
        <v>#REF!</v>
      </c>
      <c r="BR49" t="e">
        <f>AND(#REF!,"AAAAAH/Pb0U=")</f>
        <v>#REF!</v>
      </c>
      <c r="BS49" t="e">
        <f>AND(#REF!,"AAAAAH/Pb0Y=")</f>
        <v>#REF!</v>
      </c>
      <c r="BT49" t="e">
        <f>AND(#REF!,"AAAAAH/Pb0c=")</f>
        <v>#REF!</v>
      </c>
      <c r="BU49" t="e">
        <f>AND(#REF!,"AAAAAH/Pb0g=")</f>
        <v>#REF!</v>
      </c>
      <c r="BV49" t="e">
        <f>AND(#REF!,"AAAAAH/Pb0k=")</f>
        <v>#REF!</v>
      </c>
      <c r="BW49" t="e">
        <f>AND(#REF!,"AAAAAH/Pb0o=")</f>
        <v>#REF!</v>
      </c>
      <c r="BX49" t="e">
        <f>AND(#REF!,"AAAAAH/Pb0s=")</f>
        <v>#REF!</v>
      </c>
      <c r="BY49" t="e">
        <f>AND(#REF!,"AAAAAH/Pb0w=")</f>
        <v>#REF!</v>
      </c>
      <c r="BZ49" t="e">
        <f>AND(#REF!,"AAAAAH/Pb00=")</f>
        <v>#REF!</v>
      </c>
      <c r="CA49" t="e">
        <f>AND(#REF!,"AAAAAH/Pb04=")</f>
        <v>#REF!</v>
      </c>
      <c r="CB49" t="e">
        <f>AND(#REF!,"AAAAAH/Pb08=")</f>
        <v>#REF!</v>
      </c>
      <c r="CC49" t="e">
        <f>AND(#REF!,"AAAAAH/Pb1A=")</f>
        <v>#REF!</v>
      </c>
      <c r="CD49" t="e">
        <f>AND(#REF!,"AAAAAH/Pb1E=")</f>
        <v>#REF!</v>
      </c>
      <c r="CE49" t="e">
        <f>AND(#REF!,"AAAAAH/Pb1I=")</f>
        <v>#REF!</v>
      </c>
      <c r="CF49" t="e">
        <f>AND(#REF!,"AAAAAH/Pb1M=")</f>
        <v>#REF!</v>
      </c>
      <c r="CG49" t="e">
        <f>AND(#REF!,"AAAAAH/Pb1Q=")</f>
        <v>#REF!</v>
      </c>
      <c r="CH49" t="e">
        <f>AND(#REF!,"AAAAAH/Pb1U=")</f>
        <v>#REF!</v>
      </c>
      <c r="CI49" t="e">
        <f>AND(#REF!,"AAAAAH/Pb1Y=")</f>
        <v>#REF!</v>
      </c>
      <c r="CJ49" t="e">
        <f>AND(#REF!,"AAAAAH/Pb1c=")</f>
        <v>#REF!</v>
      </c>
      <c r="CK49" t="e">
        <f>AND(#REF!,"AAAAAH/Pb1g=")</f>
        <v>#REF!</v>
      </c>
      <c r="CL49" t="e">
        <f>AND(#REF!,"AAAAAH/Pb1k=")</f>
        <v>#REF!</v>
      </c>
      <c r="CM49" t="e">
        <f>AND(#REF!,"AAAAAH/Pb1o=")</f>
        <v>#REF!</v>
      </c>
      <c r="CN49" t="e">
        <f>AND(#REF!,"AAAAAH/Pb1s=")</f>
        <v>#REF!</v>
      </c>
      <c r="CO49" t="e">
        <f>AND(#REF!,"AAAAAH/Pb1w=")</f>
        <v>#REF!</v>
      </c>
      <c r="CP49" t="e">
        <f>AND(#REF!,"AAAAAH/Pb10=")</f>
        <v>#REF!</v>
      </c>
      <c r="CQ49" t="e">
        <f>IF(#REF!,"AAAAAH/Pb14=",0)</f>
        <v>#REF!</v>
      </c>
      <c r="CR49" t="e">
        <f>AND(#REF!,"AAAAAH/Pb18=")</f>
        <v>#REF!</v>
      </c>
      <c r="CS49" t="e">
        <f>AND(#REF!,"AAAAAH/Pb2A=")</f>
        <v>#REF!</v>
      </c>
      <c r="CT49" t="e">
        <f>AND(#REF!,"AAAAAH/Pb2E=")</f>
        <v>#REF!</v>
      </c>
      <c r="CU49" t="e">
        <f>AND(#REF!,"AAAAAH/Pb2I=")</f>
        <v>#REF!</v>
      </c>
      <c r="CV49" t="e">
        <f>AND(#REF!,"AAAAAH/Pb2M=")</f>
        <v>#REF!</v>
      </c>
      <c r="CW49" t="e">
        <f>AND(#REF!,"AAAAAH/Pb2Q=")</f>
        <v>#REF!</v>
      </c>
      <c r="CX49" t="e">
        <f>AND(#REF!,"AAAAAH/Pb2U=")</f>
        <v>#REF!</v>
      </c>
      <c r="CY49" t="e">
        <f>AND(#REF!,"AAAAAH/Pb2Y=")</f>
        <v>#REF!</v>
      </c>
      <c r="CZ49" t="e">
        <f>AND(#REF!,"AAAAAH/Pb2c=")</f>
        <v>#REF!</v>
      </c>
      <c r="DA49" t="e">
        <f>AND(#REF!,"AAAAAH/Pb2g=")</f>
        <v>#REF!</v>
      </c>
      <c r="DB49" t="e">
        <f>AND(#REF!,"AAAAAH/Pb2k=")</f>
        <v>#REF!</v>
      </c>
      <c r="DC49" t="e">
        <f>AND(#REF!,"AAAAAH/Pb2o=")</f>
        <v>#REF!</v>
      </c>
      <c r="DD49" t="e">
        <f>AND(#REF!,"AAAAAH/Pb2s=")</f>
        <v>#REF!</v>
      </c>
      <c r="DE49" t="e">
        <f>AND(#REF!,"AAAAAH/Pb2w=")</f>
        <v>#REF!</v>
      </c>
      <c r="DF49" t="e">
        <f>AND(#REF!,"AAAAAH/Pb20=")</f>
        <v>#REF!</v>
      </c>
      <c r="DG49" t="e">
        <f>AND(#REF!,"AAAAAH/Pb24=")</f>
        <v>#REF!</v>
      </c>
      <c r="DH49" t="e">
        <f>AND(#REF!,"AAAAAH/Pb28=")</f>
        <v>#REF!</v>
      </c>
      <c r="DI49" t="e">
        <f>AND(#REF!,"AAAAAH/Pb3A=")</f>
        <v>#REF!</v>
      </c>
      <c r="DJ49" t="e">
        <f>AND(#REF!,"AAAAAH/Pb3E=")</f>
        <v>#REF!</v>
      </c>
      <c r="DK49" t="e">
        <f>AND(#REF!,"AAAAAH/Pb3I=")</f>
        <v>#REF!</v>
      </c>
      <c r="DL49" t="e">
        <f>AND(#REF!,"AAAAAH/Pb3M=")</f>
        <v>#REF!</v>
      </c>
      <c r="DM49" t="e">
        <f>AND(#REF!,"AAAAAH/Pb3Q=")</f>
        <v>#REF!</v>
      </c>
      <c r="DN49" t="e">
        <f>AND(#REF!,"AAAAAH/Pb3U=")</f>
        <v>#REF!</v>
      </c>
      <c r="DO49" t="e">
        <f>AND(#REF!,"AAAAAH/Pb3Y=")</f>
        <v>#REF!</v>
      </c>
      <c r="DP49" t="e">
        <f>AND(#REF!,"AAAAAH/Pb3c=")</f>
        <v>#REF!</v>
      </c>
      <c r="DQ49" t="e">
        <f>AND(#REF!,"AAAAAH/Pb3g=")</f>
        <v>#REF!</v>
      </c>
      <c r="DR49" t="e">
        <f>AND(#REF!,"AAAAAH/Pb3k=")</f>
        <v>#REF!</v>
      </c>
      <c r="DS49" t="e">
        <f>AND(#REF!,"AAAAAH/Pb3o=")</f>
        <v>#REF!</v>
      </c>
      <c r="DT49" t="e">
        <f>AND(#REF!,"AAAAAH/Pb3s=")</f>
        <v>#REF!</v>
      </c>
      <c r="DU49" t="e">
        <f>AND(#REF!,"AAAAAH/Pb3w=")</f>
        <v>#REF!</v>
      </c>
      <c r="DV49" t="e">
        <f>AND(#REF!,"AAAAAH/Pb30=")</f>
        <v>#REF!</v>
      </c>
      <c r="DW49" t="e">
        <f>AND(#REF!,"AAAAAH/Pb34=")</f>
        <v>#REF!</v>
      </c>
      <c r="DX49" t="e">
        <f>AND(#REF!,"AAAAAH/Pb38=")</f>
        <v>#REF!</v>
      </c>
      <c r="DY49" t="e">
        <f>AND(#REF!,"AAAAAH/Pb4A=")</f>
        <v>#REF!</v>
      </c>
      <c r="DZ49" t="e">
        <f>AND(#REF!,"AAAAAH/Pb4E=")</f>
        <v>#REF!</v>
      </c>
      <c r="EA49" t="e">
        <f>AND(#REF!,"AAAAAH/Pb4I=")</f>
        <v>#REF!</v>
      </c>
      <c r="EB49" t="e">
        <f>AND(#REF!,"AAAAAH/Pb4M=")</f>
        <v>#REF!</v>
      </c>
      <c r="EC49" t="e">
        <f>AND(#REF!,"AAAAAH/Pb4Q=")</f>
        <v>#REF!</v>
      </c>
      <c r="ED49" t="e">
        <f>AND(#REF!,"AAAAAH/Pb4U=")</f>
        <v>#REF!</v>
      </c>
      <c r="EE49" t="e">
        <f>AND(#REF!,"AAAAAH/Pb4Y=")</f>
        <v>#REF!</v>
      </c>
      <c r="EF49" t="e">
        <f>AND(#REF!,"AAAAAH/Pb4c=")</f>
        <v>#REF!</v>
      </c>
      <c r="EG49" t="e">
        <f>AND(#REF!,"AAAAAH/Pb4g=")</f>
        <v>#REF!</v>
      </c>
      <c r="EH49" t="e">
        <f>AND(#REF!,"AAAAAH/Pb4k=")</f>
        <v>#REF!</v>
      </c>
      <c r="EI49" t="e">
        <f>AND(#REF!,"AAAAAH/Pb4o=")</f>
        <v>#REF!</v>
      </c>
      <c r="EJ49" t="e">
        <f>AND(#REF!,"AAAAAH/Pb4s=")</f>
        <v>#REF!</v>
      </c>
      <c r="EK49" t="e">
        <f>AND(#REF!,"AAAAAH/Pb4w=")</f>
        <v>#REF!</v>
      </c>
      <c r="EL49" t="e">
        <f>AND(#REF!,"AAAAAH/Pb40=")</f>
        <v>#REF!</v>
      </c>
      <c r="EM49" t="e">
        <f>AND(#REF!,"AAAAAH/Pb44=")</f>
        <v>#REF!</v>
      </c>
      <c r="EN49" t="e">
        <f>AND(#REF!,"AAAAAH/Pb48=")</f>
        <v>#REF!</v>
      </c>
      <c r="EO49" t="e">
        <f>AND(#REF!,"AAAAAH/Pb5A=")</f>
        <v>#REF!</v>
      </c>
      <c r="EP49" t="e">
        <f>AND(#REF!,"AAAAAH/Pb5E=")</f>
        <v>#REF!</v>
      </c>
      <c r="EQ49" t="e">
        <f>AND(#REF!,"AAAAAH/Pb5I=")</f>
        <v>#REF!</v>
      </c>
      <c r="ER49" t="e">
        <f>AND(#REF!,"AAAAAH/Pb5M=")</f>
        <v>#REF!</v>
      </c>
      <c r="ES49" t="e">
        <f>AND(#REF!,"AAAAAH/Pb5Q=")</f>
        <v>#REF!</v>
      </c>
      <c r="ET49" t="e">
        <f>AND(#REF!,"AAAAAH/Pb5U=")</f>
        <v>#REF!</v>
      </c>
      <c r="EU49" t="e">
        <f>AND(#REF!,"AAAAAH/Pb5Y=")</f>
        <v>#REF!</v>
      </c>
      <c r="EV49" t="e">
        <f>AND(#REF!,"AAAAAH/Pb5c=")</f>
        <v>#REF!</v>
      </c>
      <c r="EW49" t="e">
        <f>AND(#REF!,"AAAAAH/Pb5g=")</f>
        <v>#REF!</v>
      </c>
      <c r="EX49" t="e">
        <f>AND(#REF!,"AAAAAH/Pb5k=")</f>
        <v>#REF!</v>
      </c>
      <c r="EY49" t="e">
        <f>AND(#REF!,"AAAAAH/Pb5o=")</f>
        <v>#REF!</v>
      </c>
      <c r="EZ49" t="e">
        <f>AND(#REF!,"AAAAAH/Pb5s=")</f>
        <v>#REF!</v>
      </c>
      <c r="FA49" t="e">
        <f>AND(#REF!,"AAAAAH/Pb5w=")</f>
        <v>#REF!</v>
      </c>
      <c r="FB49" t="e">
        <f>AND(#REF!,"AAAAAH/Pb50=")</f>
        <v>#REF!</v>
      </c>
      <c r="FC49" t="e">
        <f>AND(#REF!,"AAAAAH/Pb54=")</f>
        <v>#REF!</v>
      </c>
      <c r="FD49" t="e">
        <f>AND(#REF!,"AAAAAH/Pb58=")</f>
        <v>#REF!</v>
      </c>
      <c r="FE49" t="e">
        <f>AND(#REF!,"AAAAAH/Pb6A=")</f>
        <v>#REF!</v>
      </c>
      <c r="FF49" t="e">
        <f>AND(#REF!,"AAAAAH/Pb6E=")</f>
        <v>#REF!</v>
      </c>
      <c r="FG49" t="e">
        <f>AND(#REF!,"AAAAAH/Pb6I=")</f>
        <v>#REF!</v>
      </c>
      <c r="FH49" t="e">
        <f>AND(#REF!,"AAAAAH/Pb6M=")</f>
        <v>#REF!</v>
      </c>
      <c r="FI49" t="e">
        <f>AND(#REF!,"AAAAAH/Pb6Q=")</f>
        <v>#REF!</v>
      </c>
      <c r="FJ49" t="e">
        <f>AND(#REF!,"AAAAAH/Pb6U=")</f>
        <v>#REF!</v>
      </c>
      <c r="FK49" t="e">
        <f>AND(#REF!,"AAAAAH/Pb6Y=")</f>
        <v>#REF!</v>
      </c>
      <c r="FL49" t="e">
        <f>AND(#REF!,"AAAAAH/Pb6c=")</f>
        <v>#REF!</v>
      </c>
      <c r="FM49" t="e">
        <f>AND(#REF!,"AAAAAH/Pb6g=")</f>
        <v>#REF!</v>
      </c>
      <c r="FN49" t="e">
        <f>IF(#REF!,"AAAAAH/Pb6k=",0)</f>
        <v>#REF!</v>
      </c>
      <c r="FO49" t="e">
        <f>AND(#REF!,"AAAAAH/Pb6o=")</f>
        <v>#REF!</v>
      </c>
      <c r="FP49" t="e">
        <f>AND(#REF!,"AAAAAH/Pb6s=")</f>
        <v>#REF!</v>
      </c>
      <c r="FQ49" t="e">
        <f>AND(#REF!,"AAAAAH/Pb6w=")</f>
        <v>#REF!</v>
      </c>
      <c r="FR49" t="e">
        <f>AND(#REF!,"AAAAAH/Pb60=")</f>
        <v>#REF!</v>
      </c>
      <c r="FS49" t="e">
        <f>AND(#REF!,"AAAAAH/Pb64=")</f>
        <v>#REF!</v>
      </c>
      <c r="FT49" t="e">
        <f>AND(#REF!,"AAAAAH/Pb68=")</f>
        <v>#REF!</v>
      </c>
      <c r="FU49" t="e">
        <f>AND(#REF!,"AAAAAH/Pb7A=")</f>
        <v>#REF!</v>
      </c>
      <c r="FV49" t="e">
        <f>AND(#REF!,"AAAAAH/Pb7E=")</f>
        <v>#REF!</v>
      </c>
      <c r="FW49" t="e">
        <f>AND(#REF!,"AAAAAH/Pb7I=")</f>
        <v>#REF!</v>
      </c>
      <c r="FX49" t="e">
        <f>AND(#REF!,"AAAAAH/Pb7M=")</f>
        <v>#REF!</v>
      </c>
      <c r="FY49" t="e">
        <f>AND(#REF!,"AAAAAH/Pb7Q=")</f>
        <v>#REF!</v>
      </c>
      <c r="FZ49" t="e">
        <f>AND(#REF!,"AAAAAH/Pb7U=")</f>
        <v>#REF!</v>
      </c>
      <c r="GA49" t="e">
        <f>AND(#REF!,"AAAAAH/Pb7Y=")</f>
        <v>#REF!</v>
      </c>
      <c r="GB49" t="e">
        <f>AND(#REF!,"AAAAAH/Pb7c=")</f>
        <v>#REF!</v>
      </c>
      <c r="GC49" t="e">
        <f>AND(#REF!,"AAAAAH/Pb7g=")</f>
        <v>#REF!</v>
      </c>
      <c r="GD49" t="e">
        <f>AND(#REF!,"AAAAAH/Pb7k=")</f>
        <v>#REF!</v>
      </c>
      <c r="GE49" t="e">
        <f>AND(#REF!,"AAAAAH/Pb7o=")</f>
        <v>#REF!</v>
      </c>
      <c r="GF49" t="e">
        <f>AND(#REF!,"AAAAAH/Pb7s=")</f>
        <v>#REF!</v>
      </c>
      <c r="GG49" t="e">
        <f>AND(#REF!,"AAAAAH/Pb7w=")</f>
        <v>#REF!</v>
      </c>
      <c r="GH49" t="e">
        <f>AND(#REF!,"AAAAAH/Pb70=")</f>
        <v>#REF!</v>
      </c>
      <c r="GI49" t="e">
        <f>AND(#REF!,"AAAAAH/Pb74=")</f>
        <v>#REF!</v>
      </c>
      <c r="GJ49" t="e">
        <f>AND(#REF!,"AAAAAH/Pb78=")</f>
        <v>#REF!</v>
      </c>
      <c r="GK49" t="e">
        <f>AND(#REF!,"AAAAAH/Pb8A=")</f>
        <v>#REF!</v>
      </c>
      <c r="GL49" t="e">
        <f>AND(#REF!,"AAAAAH/Pb8E=")</f>
        <v>#REF!</v>
      </c>
      <c r="GM49" t="e">
        <f>AND(#REF!,"AAAAAH/Pb8I=")</f>
        <v>#REF!</v>
      </c>
      <c r="GN49" t="e">
        <f>AND(#REF!,"AAAAAH/Pb8M=")</f>
        <v>#REF!</v>
      </c>
      <c r="GO49" t="e">
        <f>AND(#REF!,"AAAAAH/Pb8Q=")</f>
        <v>#REF!</v>
      </c>
      <c r="GP49" t="e">
        <f>AND(#REF!,"AAAAAH/Pb8U=")</f>
        <v>#REF!</v>
      </c>
      <c r="GQ49" t="e">
        <f>AND(#REF!,"AAAAAH/Pb8Y=")</f>
        <v>#REF!</v>
      </c>
      <c r="GR49" t="e">
        <f>AND(#REF!,"AAAAAH/Pb8c=")</f>
        <v>#REF!</v>
      </c>
      <c r="GS49" t="e">
        <f>AND(#REF!,"AAAAAH/Pb8g=")</f>
        <v>#REF!</v>
      </c>
      <c r="GT49" t="e">
        <f>AND(#REF!,"AAAAAH/Pb8k=")</f>
        <v>#REF!</v>
      </c>
      <c r="GU49" t="e">
        <f>AND(#REF!,"AAAAAH/Pb8o=")</f>
        <v>#REF!</v>
      </c>
      <c r="GV49" t="e">
        <f>AND(#REF!,"AAAAAH/Pb8s=")</f>
        <v>#REF!</v>
      </c>
      <c r="GW49" t="e">
        <f>AND(#REF!,"AAAAAH/Pb8w=")</f>
        <v>#REF!</v>
      </c>
      <c r="GX49" t="e">
        <f>AND(#REF!,"AAAAAH/Pb80=")</f>
        <v>#REF!</v>
      </c>
      <c r="GY49" t="e">
        <f>AND(#REF!,"AAAAAH/Pb84=")</f>
        <v>#REF!</v>
      </c>
      <c r="GZ49" t="e">
        <f>AND(#REF!,"AAAAAH/Pb88=")</f>
        <v>#REF!</v>
      </c>
      <c r="HA49" t="e">
        <f>AND(#REF!,"AAAAAH/Pb9A=")</f>
        <v>#REF!</v>
      </c>
      <c r="HB49" t="e">
        <f>AND(#REF!,"AAAAAH/Pb9E=")</f>
        <v>#REF!</v>
      </c>
      <c r="HC49" t="e">
        <f>AND(#REF!,"AAAAAH/Pb9I=")</f>
        <v>#REF!</v>
      </c>
      <c r="HD49" t="e">
        <f>AND(#REF!,"AAAAAH/Pb9M=")</f>
        <v>#REF!</v>
      </c>
      <c r="HE49" t="e">
        <f>AND(#REF!,"AAAAAH/Pb9Q=")</f>
        <v>#REF!</v>
      </c>
      <c r="HF49" t="e">
        <f>AND(#REF!,"AAAAAH/Pb9U=")</f>
        <v>#REF!</v>
      </c>
      <c r="HG49" t="e">
        <f>AND(#REF!,"AAAAAH/Pb9Y=")</f>
        <v>#REF!</v>
      </c>
      <c r="HH49" t="e">
        <f>AND(#REF!,"AAAAAH/Pb9c=")</f>
        <v>#REF!</v>
      </c>
      <c r="HI49" t="e">
        <f>AND(#REF!,"AAAAAH/Pb9g=")</f>
        <v>#REF!</v>
      </c>
      <c r="HJ49" t="e">
        <f>AND(#REF!,"AAAAAH/Pb9k=")</f>
        <v>#REF!</v>
      </c>
      <c r="HK49" t="e">
        <f>AND(#REF!,"AAAAAH/Pb9o=")</f>
        <v>#REF!</v>
      </c>
      <c r="HL49" t="e">
        <f>AND(#REF!,"AAAAAH/Pb9s=")</f>
        <v>#REF!</v>
      </c>
      <c r="HM49" t="e">
        <f>AND(#REF!,"AAAAAH/Pb9w=")</f>
        <v>#REF!</v>
      </c>
      <c r="HN49" t="e">
        <f>AND(#REF!,"AAAAAH/Pb90=")</f>
        <v>#REF!</v>
      </c>
      <c r="HO49" t="e">
        <f>AND(#REF!,"AAAAAH/Pb94=")</f>
        <v>#REF!</v>
      </c>
      <c r="HP49" t="e">
        <f>AND(#REF!,"AAAAAH/Pb98=")</f>
        <v>#REF!</v>
      </c>
      <c r="HQ49" t="e">
        <f>AND(#REF!,"AAAAAH/Pb+A=")</f>
        <v>#REF!</v>
      </c>
      <c r="HR49" t="e">
        <f>AND(#REF!,"AAAAAH/Pb+E=")</f>
        <v>#REF!</v>
      </c>
      <c r="HS49" t="e">
        <f>AND(#REF!,"AAAAAH/Pb+I=")</f>
        <v>#REF!</v>
      </c>
      <c r="HT49" t="e">
        <f>AND(#REF!,"AAAAAH/Pb+M=")</f>
        <v>#REF!</v>
      </c>
      <c r="HU49" t="e">
        <f>AND(#REF!,"AAAAAH/Pb+Q=")</f>
        <v>#REF!</v>
      </c>
      <c r="HV49" t="e">
        <f>AND(#REF!,"AAAAAH/Pb+U=")</f>
        <v>#REF!</v>
      </c>
      <c r="HW49" t="e">
        <f>AND(#REF!,"AAAAAH/Pb+Y=")</f>
        <v>#REF!</v>
      </c>
      <c r="HX49" t="e">
        <f>AND(#REF!,"AAAAAH/Pb+c=")</f>
        <v>#REF!</v>
      </c>
      <c r="HY49" t="e">
        <f>AND(#REF!,"AAAAAH/Pb+g=")</f>
        <v>#REF!</v>
      </c>
      <c r="HZ49" t="e">
        <f>AND(#REF!,"AAAAAH/Pb+k=")</f>
        <v>#REF!</v>
      </c>
      <c r="IA49" t="e">
        <f>AND(#REF!,"AAAAAH/Pb+o=")</f>
        <v>#REF!</v>
      </c>
      <c r="IB49" t="e">
        <f>AND(#REF!,"AAAAAH/Pb+s=")</f>
        <v>#REF!</v>
      </c>
      <c r="IC49" t="e">
        <f>AND(#REF!,"AAAAAH/Pb+w=")</f>
        <v>#REF!</v>
      </c>
      <c r="ID49" t="e">
        <f>AND(#REF!,"AAAAAH/Pb+0=")</f>
        <v>#REF!</v>
      </c>
      <c r="IE49" t="e">
        <f>AND(#REF!,"AAAAAH/Pb+4=")</f>
        <v>#REF!</v>
      </c>
      <c r="IF49" t="e">
        <f>AND(#REF!,"AAAAAH/Pb+8=")</f>
        <v>#REF!</v>
      </c>
      <c r="IG49" t="e">
        <f>AND(#REF!,"AAAAAH/Pb/A=")</f>
        <v>#REF!</v>
      </c>
      <c r="IH49" t="e">
        <f>AND(#REF!,"AAAAAH/Pb/E=")</f>
        <v>#REF!</v>
      </c>
      <c r="II49" t="e">
        <f>AND(#REF!,"AAAAAH/Pb/I=")</f>
        <v>#REF!</v>
      </c>
      <c r="IJ49" t="e">
        <f>AND(#REF!,"AAAAAH/Pb/M=")</f>
        <v>#REF!</v>
      </c>
      <c r="IK49" t="e">
        <f>IF(#REF!,"AAAAAH/Pb/Q=",0)</f>
        <v>#REF!</v>
      </c>
      <c r="IL49" t="e">
        <f>AND(#REF!,"AAAAAH/Pb/U=")</f>
        <v>#REF!</v>
      </c>
      <c r="IM49" t="e">
        <f>AND(#REF!,"AAAAAH/Pb/Y=")</f>
        <v>#REF!</v>
      </c>
      <c r="IN49" t="e">
        <f>AND(#REF!,"AAAAAH/Pb/c=")</f>
        <v>#REF!</v>
      </c>
      <c r="IO49" t="e">
        <f>AND(#REF!,"AAAAAH/Pb/g=")</f>
        <v>#REF!</v>
      </c>
      <c r="IP49" t="e">
        <f>AND(#REF!,"AAAAAH/Pb/k=")</f>
        <v>#REF!</v>
      </c>
      <c r="IQ49" t="e">
        <f>AND(#REF!,"AAAAAH/Pb/o=")</f>
        <v>#REF!</v>
      </c>
      <c r="IR49" t="e">
        <f>AND(#REF!,"AAAAAH/Pb/s=")</f>
        <v>#REF!</v>
      </c>
      <c r="IS49" t="e">
        <f>AND(#REF!,"AAAAAH/Pb/w=")</f>
        <v>#REF!</v>
      </c>
      <c r="IT49" t="e">
        <f>AND(#REF!,"AAAAAH/Pb/0=")</f>
        <v>#REF!</v>
      </c>
      <c r="IU49" t="e">
        <f>AND(#REF!,"AAAAAH/Pb/4=")</f>
        <v>#REF!</v>
      </c>
      <c r="IV49" t="e">
        <f>AND(#REF!,"AAAAAH/Pb/8=")</f>
        <v>#REF!</v>
      </c>
    </row>
    <row r="50" spans="1:256" x14ac:dyDescent="0.2">
      <c r="A50" t="e">
        <f>AND(#REF!,"AAAAAH+L3QA=")</f>
        <v>#REF!</v>
      </c>
      <c r="B50" t="e">
        <f>AND(#REF!,"AAAAAH+L3QE=")</f>
        <v>#REF!</v>
      </c>
      <c r="C50" t="e">
        <f>AND(#REF!,"AAAAAH+L3QI=")</f>
        <v>#REF!</v>
      </c>
      <c r="D50" t="e">
        <f>AND(#REF!,"AAAAAH+L3QM=")</f>
        <v>#REF!</v>
      </c>
      <c r="E50" t="e">
        <f>AND(#REF!,"AAAAAH+L3QQ=")</f>
        <v>#REF!</v>
      </c>
      <c r="F50" t="e">
        <f>AND(#REF!,"AAAAAH+L3QU=")</f>
        <v>#REF!</v>
      </c>
      <c r="G50" t="e">
        <f>AND(#REF!,"AAAAAH+L3QY=")</f>
        <v>#REF!</v>
      </c>
      <c r="H50" t="e">
        <f>AND(#REF!,"AAAAAH+L3Qc=")</f>
        <v>#REF!</v>
      </c>
      <c r="I50" t="e">
        <f>AND(#REF!,"AAAAAH+L3Qg=")</f>
        <v>#REF!</v>
      </c>
      <c r="J50" t="e">
        <f>AND(#REF!,"AAAAAH+L3Qk=")</f>
        <v>#REF!</v>
      </c>
      <c r="K50" t="e">
        <f>AND(#REF!,"AAAAAH+L3Qo=")</f>
        <v>#REF!</v>
      </c>
      <c r="L50" t="e">
        <f>AND(#REF!,"AAAAAH+L3Qs=")</f>
        <v>#REF!</v>
      </c>
      <c r="M50" t="e">
        <f>AND(#REF!,"AAAAAH+L3Qw=")</f>
        <v>#REF!</v>
      </c>
      <c r="N50" t="e">
        <f>AND(#REF!,"AAAAAH+L3Q0=")</f>
        <v>#REF!</v>
      </c>
      <c r="O50" t="e">
        <f>AND(#REF!,"AAAAAH+L3Q4=")</f>
        <v>#REF!</v>
      </c>
      <c r="P50" t="e">
        <f>AND(#REF!,"AAAAAH+L3Q8=")</f>
        <v>#REF!</v>
      </c>
      <c r="Q50" t="e">
        <f>AND(#REF!,"AAAAAH+L3RA=")</f>
        <v>#REF!</v>
      </c>
      <c r="R50" t="e">
        <f>AND(#REF!,"AAAAAH+L3RE=")</f>
        <v>#REF!</v>
      </c>
      <c r="S50" t="e">
        <f>AND(#REF!,"AAAAAH+L3RI=")</f>
        <v>#REF!</v>
      </c>
      <c r="T50" t="e">
        <f>AND(#REF!,"AAAAAH+L3RM=")</f>
        <v>#REF!</v>
      </c>
      <c r="U50" t="e">
        <f>AND(#REF!,"AAAAAH+L3RQ=")</f>
        <v>#REF!</v>
      </c>
      <c r="V50" t="e">
        <f>AND(#REF!,"AAAAAH+L3RU=")</f>
        <v>#REF!</v>
      </c>
      <c r="W50" t="e">
        <f>AND(#REF!,"AAAAAH+L3RY=")</f>
        <v>#REF!</v>
      </c>
      <c r="X50" t="e">
        <f>AND(#REF!,"AAAAAH+L3Rc=")</f>
        <v>#REF!</v>
      </c>
      <c r="Y50" t="e">
        <f>AND(#REF!,"AAAAAH+L3Rg=")</f>
        <v>#REF!</v>
      </c>
      <c r="Z50" t="e">
        <f>AND(#REF!,"AAAAAH+L3Rk=")</f>
        <v>#REF!</v>
      </c>
      <c r="AA50" t="e">
        <f>AND(#REF!,"AAAAAH+L3Ro=")</f>
        <v>#REF!</v>
      </c>
      <c r="AB50" t="e">
        <f>AND(#REF!,"AAAAAH+L3Rs=")</f>
        <v>#REF!</v>
      </c>
      <c r="AC50" t="e">
        <f>AND(#REF!,"AAAAAH+L3Rw=")</f>
        <v>#REF!</v>
      </c>
      <c r="AD50" t="e">
        <f>AND(#REF!,"AAAAAH+L3R0=")</f>
        <v>#REF!</v>
      </c>
      <c r="AE50" t="e">
        <f>AND(#REF!,"AAAAAH+L3R4=")</f>
        <v>#REF!</v>
      </c>
      <c r="AF50" t="e">
        <f>AND(#REF!,"AAAAAH+L3R8=")</f>
        <v>#REF!</v>
      </c>
      <c r="AG50" t="e">
        <f>AND(#REF!,"AAAAAH+L3SA=")</f>
        <v>#REF!</v>
      </c>
      <c r="AH50" t="e">
        <f>AND(#REF!,"AAAAAH+L3SE=")</f>
        <v>#REF!</v>
      </c>
      <c r="AI50" t="e">
        <f>AND(#REF!,"AAAAAH+L3SI=")</f>
        <v>#REF!</v>
      </c>
      <c r="AJ50" t="e">
        <f>AND(#REF!,"AAAAAH+L3SM=")</f>
        <v>#REF!</v>
      </c>
      <c r="AK50" t="e">
        <f>AND(#REF!,"AAAAAH+L3SQ=")</f>
        <v>#REF!</v>
      </c>
      <c r="AL50" t="e">
        <f>AND(#REF!,"AAAAAH+L3SU=")</f>
        <v>#REF!</v>
      </c>
      <c r="AM50" t="e">
        <f>AND(#REF!,"AAAAAH+L3SY=")</f>
        <v>#REF!</v>
      </c>
      <c r="AN50" t="e">
        <f>AND(#REF!,"AAAAAH+L3Sc=")</f>
        <v>#REF!</v>
      </c>
      <c r="AO50" t="e">
        <f>AND(#REF!,"AAAAAH+L3Sg=")</f>
        <v>#REF!</v>
      </c>
      <c r="AP50" t="e">
        <f>AND(#REF!,"AAAAAH+L3Sk=")</f>
        <v>#REF!</v>
      </c>
      <c r="AQ50" t="e">
        <f>AND(#REF!,"AAAAAH+L3So=")</f>
        <v>#REF!</v>
      </c>
      <c r="AR50" t="e">
        <f>AND(#REF!,"AAAAAH+L3Ss=")</f>
        <v>#REF!</v>
      </c>
      <c r="AS50" t="e">
        <f>AND(#REF!,"AAAAAH+L3Sw=")</f>
        <v>#REF!</v>
      </c>
      <c r="AT50" t="e">
        <f>AND(#REF!,"AAAAAH+L3S0=")</f>
        <v>#REF!</v>
      </c>
      <c r="AU50" t="e">
        <f>AND(#REF!,"AAAAAH+L3S4=")</f>
        <v>#REF!</v>
      </c>
      <c r="AV50" t="e">
        <f>AND(#REF!,"AAAAAH+L3S8=")</f>
        <v>#REF!</v>
      </c>
      <c r="AW50" t="e">
        <f>AND(#REF!,"AAAAAH+L3TA=")</f>
        <v>#REF!</v>
      </c>
      <c r="AX50" t="e">
        <f>AND(#REF!,"AAAAAH+L3TE=")</f>
        <v>#REF!</v>
      </c>
      <c r="AY50" t="e">
        <f>AND(#REF!,"AAAAAH+L3TI=")</f>
        <v>#REF!</v>
      </c>
      <c r="AZ50" t="e">
        <f>AND(#REF!,"AAAAAH+L3TM=")</f>
        <v>#REF!</v>
      </c>
      <c r="BA50" t="e">
        <f>AND(#REF!,"AAAAAH+L3TQ=")</f>
        <v>#REF!</v>
      </c>
      <c r="BB50" t="e">
        <f>AND(#REF!,"AAAAAH+L3TU=")</f>
        <v>#REF!</v>
      </c>
      <c r="BC50" t="e">
        <f>AND(#REF!,"AAAAAH+L3TY=")</f>
        <v>#REF!</v>
      </c>
      <c r="BD50" t="e">
        <f>AND(#REF!,"AAAAAH+L3Tc=")</f>
        <v>#REF!</v>
      </c>
      <c r="BE50" t="e">
        <f>AND(#REF!,"AAAAAH+L3Tg=")</f>
        <v>#REF!</v>
      </c>
      <c r="BF50" t="e">
        <f>AND(#REF!,"AAAAAH+L3Tk=")</f>
        <v>#REF!</v>
      </c>
      <c r="BG50" t="e">
        <f>AND(#REF!,"AAAAAH+L3To=")</f>
        <v>#REF!</v>
      </c>
      <c r="BH50" t="e">
        <f>AND(#REF!,"AAAAAH+L3Ts=")</f>
        <v>#REF!</v>
      </c>
      <c r="BI50" t="e">
        <f>AND(#REF!,"AAAAAH+L3Tw=")</f>
        <v>#REF!</v>
      </c>
      <c r="BJ50" t="e">
        <f>AND(#REF!,"AAAAAH+L3T0=")</f>
        <v>#REF!</v>
      </c>
      <c r="BK50" t="e">
        <f>AND(#REF!,"AAAAAH+L3T4=")</f>
        <v>#REF!</v>
      </c>
      <c r="BL50" t="e">
        <f>IF(#REF!,"AAAAAH+L3T8=",0)</f>
        <v>#REF!</v>
      </c>
      <c r="BM50" t="e">
        <f>AND(#REF!,"AAAAAH+L3UA=")</f>
        <v>#REF!</v>
      </c>
      <c r="BN50" t="e">
        <f>AND(#REF!,"AAAAAH+L3UE=")</f>
        <v>#REF!</v>
      </c>
      <c r="BO50" t="e">
        <f>AND(#REF!,"AAAAAH+L3UI=")</f>
        <v>#REF!</v>
      </c>
      <c r="BP50" t="e">
        <f>AND(#REF!,"AAAAAH+L3UM=")</f>
        <v>#REF!</v>
      </c>
      <c r="BQ50" t="e">
        <f>AND(#REF!,"AAAAAH+L3UQ=")</f>
        <v>#REF!</v>
      </c>
      <c r="BR50" t="e">
        <f>AND(#REF!,"AAAAAH+L3UU=")</f>
        <v>#REF!</v>
      </c>
      <c r="BS50" t="e">
        <f>AND(#REF!,"AAAAAH+L3UY=")</f>
        <v>#REF!</v>
      </c>
      <c r="BT50" t="e">
        <f>AND(#REF!,"AAAAAH+L3Uc=")</f>
        <v>#REF!</v>
      </c>
      <c r="BU50" t="e">
        <f>AND(#REF!,"AAAAAH+L3Ug=")</f>
        <v>#REF!</v>
      </c>
      <c r="BV50" t="e">
        <f>AND(#REF!,"AAAAAH+L3Uk=")</f>
        <v>#REF!</v>
      </c>
      <c r="BW50" t="e">
        <f>AND(#REF!,"AAAAAH+L3Uo=")</f>
        <v>#REF!</v>
      </c>
      <c r="BX50" t="e">
        <f>AND(#REF!,"AAAAAH+L3Us=")</f>
        <v>#REF!</v>
      </c>
      <c r="BY50" t="e">
        <f>AND(#REF!,"AAAAAH+L3Uw=")</f>
        <v>#REF!</v>
      </c>
      <c r="BZ50" t="e">
        <f>AND(#REF!,"AAAAAH+L3U0=")</f>
        <v>#REF!</v>
      </c>
      <c r="CA50" t="e">
        <f>AND(#REF!,"AAAAAH+L3U4=")</f>
        <v>#REF!</v>
      </c>
      <c r="CB50" t="e">
        <f>AND(#REF!,"AAAAAH+L3U8=")</f>
        <v>#REF!</v>
      </c>
      <c r="CC50" t="e">
        <f>AND(#REF!,"AAAAAH+L3VA=")</f>
        <v>#REF!</v>
      </c>
      <c r="CD50" t="e">
        <f>AND(#REF!,"AAAAAH+L3VE=")</f>
        <v>#REF!</v>
      </c>
      <c r="CE50" t="e">
        <f>AND(#REF!,"AAAAAH+L3VI=")</f>
        <v>#REF!</v>
      </c>
      <c r="CF50" t="e">
        <f>AND(#REF!,"AAAAAH+L3VM=")</f>
        <v>#REF!</v>
      </c>
      <c r="CG50" t="e">
        <f>AND(#REF!,"AAAAAH+L3VQ=")</f>
        <v>#REF!</v>
      </c>
      <c r="CH50" t="e">
        <f>AND(#REF!,"AAAAAH+L3VU=")</f>
        <v>#REF!</v>
      </c>
      <c r="CI50" t="e">
        <f>AND(#REF!,"AAAAAH+L3VY=")</f>
        <v>#REF!</v>
      </c>
      <c r="CJ50" t="e">
        <f>AND(#REF!,"AAAAAH+L3Vc=")</f>
        <v>#REF!</v>
      </c>
      <c r="CK50" t="e">
        <f>AND(#REF!,"AAAAAH+L3Vg=")</f>
        <v>#REF!</v>
      </c>
      <c r="CL50" t="e">
        <f>AND(#REF!,"AAAAAH+L3Vk=")</f>
        <v>#REF!</v>
      </c>
      <c r="CM50" t="e">
        <f>AND(#REF!,"AAAAAH+L3Vo=")</f>
        <v>#REF!</v>
      </c>
      <c r="CN50" t="e">
        <f>AND(#REF!,"AAAAAH+L3Vs=")</f>
        <v>#REF!</v>
      </c>
      <c r="CO50" t="e">
        <f>AND(#REF!,"AAAAAH+L3Vw=")</f>
        <v>#REF!</v>
      </c>
      <c r="CP50" t="e">
        <f>AND(#REF!,"AAAAAH+L3V0=")</f>
        <v>#REF!</v>
      </c>
      <c r="CQ50" t="e">
        <f>AND(#REF!,"AAAAAH+L3V4=")</f>
        <v>#REF!</v>
      </c>
      <c r="CR50" t="e">
        <f>AND(#REF!,"AAAAAH+L3V8=")</f>
        <v>#REF!</v>
      </c>
      <c r="CS50" t="e">
        <f>AND(#REF!,"AAAAAH+L3WA=")</f>
        <v>#REF!</v>
      </c>
      <c r="CT50" t="e">
        <f>AND(#REF!,"AAAAAH+L3WE=")</f>
        <v>#REF!</v>
      </c>
      <c r="CU50" t="e">
        <f>AND(#REF!,"AAAAAH+L3WI=")</f>
        <v>#REF!</v>
      </c>
      <c r="CV50" t="e">
        <f>AND(#REF!,"AAAAAH+L3WM=")</f>
        <v>#REF!</v>
      </c>
      <c r="CW50" t="e">
        <f>AND(#REF!,"AAAAAH+L3WQ=")</f>
        <v>#REF!</v>
      </c>
      <c r="CX50" t="e">
        <f>AND(#REF!,"AAAAAH+L3WU=")</f>
        <v>#REF!</v>
      </c>
      <c r="CY50" t="e">
        <f>AND(#REF!,"AAAAAH+L3WY=")</f>
        <v>#REF!</v>
      </c>
      <c r="CZ50" t="e">
        <f>AND(#REF!,"AAAAAH+L3Wc=")</f>
        <v>#REF!</v>
      </c>
      <c r="DA50" t="e">
        <f>AND(#REF!,"AAAAAH+L3Wg=")</f>
        <v>#REF!</v>
      </c>
      <c r="DB50" t="e">
        <f>AND(#REF!,"AAAAAH+L3Wk=")</f>
        <v>#REF!</v>
      </c>
      <c r="DC50" t="e">
        <f>AND(#REF!,"AAAAAH+L3Wo=")</f>
        <v>#REF!</v>
      </c>
      <c r="DD50" t="e">
        <f>AND(#REF!,"AAAAAH+L3Ws=")</f>
        <v>#REF!</v>
      </c>
      <c r="DE50" t="e">
        <f>AND(#REF!,"AAAAAH+L3Ww=")</f>
        <v>#REF!</v>
      </c>
      <c r="DF50" t="e">
        <f>AND(#REF!,"AAAAAH+L3W0=")</f>
        <v>#REF!</v>
      </c>
      <c r="DG50" t="e">
        <f>AND(#REF!,"AAAAAH+L3W4=")</f>
        <v>#REF!</v>
      </c>
      <c r="DH50" t="e">
        <f>AND(#REF!,"AAAAAH+L3W8=")</f>
        <v>#REF!</v>
      </c>
      <c r="DI50" t="e">
        <f>AND(#REF!,"AAAAAH+L3XA=")</f>
        <v>#REF!</v>
      </c>
      <c r="DJ50" t="e">
        <f>AND(#REF!,"AAAAAH+L3XE=")</f>
        <v>#REF!</v>
      </c>
      <c r="DK50" t="e">
        <f>AND(#REF!,"AAAAAH+L3XI=")</f>
        <v>#REF!</v>
      </c>
      <c r="DL50" t="e">
        <f>AND(#REF!,"AAAAAH+L3XM=")</f>
        <v>#REF!</v>
      </c>
      <c r="DM50" t="e">
        <f>AND(#REF!,"AAAAAH+L3XQ=")</f>
        <v>#REF!</v>
      </c>
      <c r="DN50" t="e">
        <f>AND(#REF!,"AAAAAH+L3XU=")</f>
        <v>#REF!</v>
      </c>
      <c r="DO50" t="e">
        <f>AND(#REF!,"AAAAAH+L3XY=")</f>
        <v>#REF!</v>
      </c>
      <c r="DP50" t="e">
        <f>AND(#REF!,"AAAAAH+L3Xc=")</f>
        <v>#REF!</v>
      </c>
      <c r="DQ50" t="e">
        <f>AND(#REF!,"AAAAAH+L3Xg=")</f>
        <v>#REF!</v>
      </c>
      <c r="DR50" t="e">
        <f>AND(#REF!,"AAAAAH+L3Xk=")</f>
        <v>#REF!</v>
      </c>
      <c r="DS50" t="e">
        <f>AND(#REF!,"AAAAAH+L3Xo=")</f>
        <v>#REF!</v>
      </c>
      <c r="DT50" t="e">
        <f>AND(#REF!,"AAAAAH+L3Xs=")</f>
        <v>#REF!</v>
      </c>
      <c r="DU50" t="e">
        <f>AND(#REF!,"AAAAAH+L3Xw=")</f>
        <v>#REF!</v>
      </c>
      <c r="DV50" t="e">
        <f>AND(#REF!,"AAAAAH+L3X0=")</f>
        <v>#REF!</v>
      </c>
      <c r="DW50" t="e">
        <f>AND(#REF!,"AAAAAH+L3X4=")</f>
        <v>#REF!</v>
      </c>
      <c r="DX50" t="e">
        <f>AND(#REF!,"AAAAAH+L3X8=")</f>
        <v>#REF!</v>
      </c>
      <c r="DY50" t="e">
        <f>AND(#REF!,"AAAAAH+L3YA=")</f>
        <v>#REF!</v>
      </c>
      <c r="DZ50" t="e">
        <f>AND(#REF!,"AAAAAH+L3YE=")</f>
        <v>#REF!</v>
      </c>
      <c r="EA50" t="e">
        <f>AND(#REF!,"AAAAAH+L3YI=")</f>
        <v>#REF!</v>
      </c>
      <c r="EB50" t="e">
        <f>AND(#REF!,"AAAAAH+L3YM=")</f>
        <v>#REF!</v>
      </c>
      <c r="EC50" t="e">
        <f>AND(#REF!,"AAAAAH+L3YQ=")</f>
        <v>#REF!</v>
      </c>
      <c r="ED50" t="e">
        <f>AND(#REF!,"AAAAAH+L3YU=")</f>
        <v>#REF!</v>
      </c>
      <c r="EE50" t="e">
        <f>AND(#REF!,"AAAAAH+L3YY=")</f>
        <v>#REF!</v>
      </c>
      <c r="EF50" t="e">
        <f>AND(#REF!,"AAAAAH+L3Yc=")</f>
        <v>#REF!</v>
      </c>
      <c r="EG50" t="e">
        <f>AND(#REF!,"AAAAAH+L3Yg=")</f>
        <v>#REF!</v>
      </c>
      <c r="EH50" t="e">
        <f>AND(#REF!,"AAAAAH+L3Yk=")</f>
        <v>#REF!</v>
      </c>
      <c r="EI50" t="e">
        <f>IF(#REF!,"AAAAAH+L3Yo=",0)</f>
        <v>#REF!</v>
      </c>
      <c r="EJ50" t="e">
        <f>AND(#REF!,"AAAAAH+L3Ys=")</f>
        <v>#REF!</v>
      </c>
      <c r="EK50" t="e">
        <f>AND(#REF!,"AAAAAH+L3Yw=")</f>
        <v>#REF!</v>
      </c>
      <c r="EL50" t="e">
        <f>AND(#REF!,"AAAAAH+L3Y0=")</f>
        <v>#REF!</v>
      </c>
      <c r="EM50" t="e">
        <f>AND(#REF!,"AAAAAH+L3Y4=")</f>
        <v>#REF!</v>
      </c>
      <c r="EN50" t="e">
        <f>AND(#REF!,"AAAAAH+L3Y8=")</f>
        <v>#REF!</v>
      </c>
      <c r="EO50" t="e">
        <f>AND(#REF!,"AAAAAH+L3ZA=")</f>
        <v>#REF!</v>
      </c>
      <c r="EP50" t="e">
        <f>AND(#REF!,"AAAAAH+L3ZE=")</f>
        <v>#REF!</v>
      </c>
      <c r="EQ50" t="e">
        <f>AND(#REF!,"AAAAAH+L3ZI=")</f>
        <v>#REF!</v>
      </c>
      <c r="ER50" t="e">
        <f>AND(#REF!,"AAAAAH+L3ZM=")</f>
        <v>#REF!</v>
      </c>
      <c r="ES50" t="e">
        <f>AND(#REF!,"AAAAAH+L3ZQ=")</f>
        <v>#REF!</v>
      </c>
      <c r="ET50" t="e">
        <f>AND(#REF!,"AAAAAH+L3ZU=")</f>
        <v>#REF!</v>
      </c>
      <c r="EU50" t="e">
        <f>AND(#REF!,"AAAAAH+L3ZY=")</f>
        <v>#REF!</v>
      </c>
      <c r="EV50" t="e">
        <f>AND(#REF!,"AAAAAH+L3Zc=")</f>
        <v>#REF!</v>
      </c>
      <c r="EW50" t="e">
        <f>AND(#REF!,"AAAAAH+L3Zg=")</f>
        <v>#REF!</v>
      </c>
      <c r="EX50" t="e">
        <f>AND(#REF!,"AAAAAH+L3Zk=")</f>
        <v>#REF!</v>
      </c>
      <c r="EY50" t="e">
        <f>AND(#REF!,"AAAAAH+L3Zo=")</f>
        <v>#REF!</v>
      </c>
      <c r="EZ50" t="e">
        <f>AND(#REF!,"AAAAAH+L3Zs=")</f>
        <v>#REF!</v>
      </c>
      <c r="FA50" t="e">
        <f>AND(#REF!,"AAAAAH+L3Zw=")</f>
        <v>#REF!</v>
      </c>
      <c r="FB50" t="e">
        <f>AND(#REF!,"AAAAAH+L3Z0=")</f>
        <v>#REF!</v>
      </c>
      <c r="FC50" t="e">
        <f>AND(#REF!,"AAAAAH+L3Z4=")</f>
        <v>#REF!</v>
      </c>
      <c r="FD50" t="e">
        <f>AND(#REF!,"AAAAAH+L3Z8=")</f>
        <v>#REF!</v>
      </c>
      <c r="FE50" t="e">
        <f>AND(#REF!,"AAAAAH+L3aA=")</f>
        <v>#REF!</v>
      </c>
      <c r="FF50" t="e">
        <f>AND(#REF!,"AAAAAH+L3aE=")</f>
        <v>#REF!</v>
      </c>
      <c r="FG50" t="e">
        <f>AND(#REF!,"AAAAAH+L3aI=")</f>
        <v>#REF!</v>
      </c>
      <c r="FH50" t="e">
        <f>AND(#REF!,"AAAAAH+L3aM=")</f>
        <v>#REF!</v>
      </c>
      <c r="FI50" t="e">
        <f>AND(#REF!,"AAAAAH+L3aQ=")</f>
        <v>#REF!</v>
      </c>
      <c r="FJ50" t="e">
        <f>AND(#REF!,"AAAAAH+L3aU=")</f>
        <v>#REF!</v>
      </c>
      <c r="FK50" t="e">
        <f>AND(#REF!,"AAAAAH+L3aY=")</f>
        <v>#REF!</v>
      </c>
      <c r="FL50" t="e">
        <f>AND(#REF!,"AAAAAH+L3ac=")</f>
        <v>#REF!</v>
      </c>
      <c r="FM50" t="e">
        <f>AND(#REF!,"AAAAAH+L3ag=")</f>
        <v>#REF!</v>
      </c>
      <c r="FN50" t="e">
        <f>AND(#REF!,"AAAAAH+L3ak=")</f>
        <v>#REF!</v>
      </c>
      <c r="FO50" t="e">
        <f>AND(#REF!,"AAAAAH+L3ao=")</f>
        <v>#REF!</v>
      </c>
      <c r="FP50" t="e">
        <f>AND(#REF!,"AAAAAH+L3as=")</f>
        <v>#REF!</v>
      </c>
      <c r="FQ50" t="e">
        <f>AND(#REF!,"AAAAAH+L3aw=")</f>
        <v>#REF!</v>
      </c>
      <c r="FR50" t="e">
        <f>AND(#REF!,"AAAAAH+L3a0=")</f>
        <v>#REF!</v>
      </c>
      <c r="FS50" t="e">
        <f>AND(#REF!,"AAAAAH+L3a4=")</f>
        <v>#REF!</v>
      </c>
      <c r="FT50" t="e">
        <f>AND(#REF!,"AAAAAH+L3a8=")</f>
        <v>#REF!</v>
      </c>
      <c r="FU50" t="e">
        <f>AND(#REF!,"AAAAAH+L3bA=")</f>
        <v>#REF!</v>
      </c>
      <c r="FV50" t="e">
        <f>AND(#REF!,"AAAAAH+L3bE=")</f>
        <v>#REF!</v>
      </c>
      <c r="FW50" t="e">
        <f>AND(#REF!,"AAAAAH+L3bI=")</f>
        <v>#REF!</v>
      </c>
      <c r="FX50" t="e">
        <f>AND(#REF!,"AAAAAH+L3bM=")</f>
        <v>#REF!</v>
      </c>
      <c r="FY50" t="e">
        <f>AND(#REF!,"AAAAAH+L3bQ=")</f>
        <v>#REF!</v>
      </c>
      <c r="FZ50" t="e">
        <f>AND(#REF!,"AAAAAH+L3bU=")</f>
        <v>#REF!</v>
      </c>
      <c r="GA50" t="e">
        <f>AND(#REF!,"AAAAAH+L3bY=")</f>
        <v>#REF!</v>
      </c>
      <c r="GB50" t="e">
        <f>AND(#REF!,"AAAAAH+L3bc=")</f>
        <v>#REF!</v>
      </c>
      <c r="GC50" t="e">
        <f>AND(#REF!,"AAAAAH+L3bg=")</f>
        <v>#REF!</v>
      </c>
      <c r="GD50" t="e">
        <f>AND(#REF!,"AAAAAH+L3bk=")</f>
        <v>#REF!</v>
      </c>
      <c r="GE50" t="e">
        <f>AND(#REF!,"AAAAAH+L3bo=")</f>
        <v>#REF!</v>
      </c>
      <c r="GF50" t="e">
        <f>AND(#REF!,"AAAAAH+L3bs=")</f>
        <v>#REF!</v>
      </c>
      <c r="GG50" t="e">
        <f>AND(#REF!,"AAAAAH+L3bw=")</f>
        <v>#REF!</v>
      </c>
      <c r="GH50" t="e">
        <f>AND(#REF!,"AAAAAH+L3b0=")</f>
        <v>#REF!</v>
      </c>
      <c r="GI50" t="e">
        <f>AND(#REF!,"AAAAAH+L3b4=")</f>
        <v>#REF!</v>
      </c>
      <c r="GJ50" t="e">
        <f>AND(#REF!,"AAAAAH+L3b8=")</f>
        <v>#REF!</v>
      </c>
      <c r="GK50" t="e">
        <f>AND(#REF!,"AAAAAH+L3cA=")</f>
        <v>#REF!</v>
      </c>
      <c r="GL50" t="e">
        <f>AND(#REF!,"AAAAAH+L3cE=")</f>
        <v>#REF!</v>
      </c>
      <c r="GM50" t="e">
        <f>AND(#REF!,"AAAAAH+L3cI=")</f>
        <v>#REF!</v>
      </c>
      <c r="GN50" t="e">
        <f>AND(#REF!,"AAAAAH+L3cM=")</f>
        <v>#REF!</v>
      </c>
      <c r="GO50" t="e">
        <f>AND(#REF!,"AAAAAH+L3cQ=")</f>
        <v>#REF!</v>
      </c>
      <c r="GP50" t="e">
        <f>AND(#REF!,"AAAAAH+L3cU=")</f>
        <v>#REF!</v>
      </c>
      <c r="GQ50" t="e">
        <f>AND(#REF!,"AAAAAH+L3cY=")</f>
        <v>#REF!</v>
      </c>
      <c r="GR50" t="e">
        <f>AND(#REF!,"AAAAAH+L3cc=")</f>
        <v>#REF!</v>
      </c>
      <c r="GS50" t="e">
        <f>AND(#REF!,"AAAAAH+L3cg=")</f>
        <v>#REF!</v>
      </c>
      <c r="GT50" t="e">
        <f>AND(#REF!,"AAAAAH+L3ck=")</f>
        <v>#REF!</v>
      </c>
      <c r="GU50" t="e">
        <f>AND(#REF!,"AAAAAH+L3co=")</f>
        <v>#REF!</v>
      </c>
      <c r="GV50" t="e">
        <f>AND(#REF!,"AAAAAH+L3cs=")</f>
        <v>#REF!</v>
      </c>
      <c r="GW50" t="e">
        <f>AND(#REF!,"AAAAAH+L3cw=")</f>
        <v>#REF!</v>
      </c>
      <c r="GX50" t="e">
        <f>AND(#REF!,"AAAAAH+L3c0=")</f>
        <v>#REF!</v>
      </c>
      <c r="GY50" t="e">
        <f>AND(#REF!,"AAAAAH+L3c4=")</f>
        <v>#REF!</v>
      </c>
      <c r="GZ50" t="e">
        <f>AND(#REF!,"AAAAAH+L3c8=")</f>
        <v>#REF!</v>
      </c>
      <c r="HA50" t="e">
        <f>AND(#REF!,"AAAAAH+L3dA=")</f>
        <v>#REF!</v>
      </c>
      <c r="HB50" t="e">
        <f>AND(#REF!,"AAAAAH+L3dE=")</f>
        <v>#REF!</v>
      </c>
      <c r="HC50" t="e">
        <f>AND(#REF!,"AAAAAH+L3dI=")</f>
        <v>#REF!</v>
      </c>
      <c r="HD50" t="e">
        <f>AND(#REF!,"AAAAAH+L3dM=")</f>
        <v>#REF!</v>
      </c>
      <c r="HE50" t="e">
        <f>AND(#REF!,"AAAAAH+L3dQ=")</f>
        <v>#REF!</v>
      </c>
      <c r="HF50" t="e">
        <f>IF(#REF!,"AAAAAH+L3dU=",0)</f>
        <v>#REF!</v>
      </c>
      <c r="HG50" t="e">
        <f>AND(#REF!,"AAAAAH+L3dY=")</f>
        <v>#REF!</v>
      </c>
      <c r="HH50" t="e">
        <f>AND(#REF!,"AAAAAH+L3dc=")</f>
        <v>#REF!</v>
      </c>
      <c r="HI50" t="e">
        <f>AND(#REF!,"AAAAAH+L3dg=")</f>
        <v>#REF!</v>
      </c>
      <c r="HJ50" t="e">
        <f>AND(#REF!,"AAAAAH+L3dk=")</f>
        <v>#REF!</v>
      </c>
      <c r="HK50" t="e">
        <f>AND(#REF!,"AAAAAH+L3do=")</f>
        <v>#REF!</v>
      </c>
      <c r="HL50" t="e">
        <f>AND(#REF!,"AAAAAH+L3ds=")</f>
        <v>#REF!</v>
      </c>
      <c r="HM50" t="e">
        <f>AND(#REF!,"AAAAAH+L3dw=")</f>
        <v>#REF!</v>
      </c>
      <c r="HN50" t="e">
        <f>AND(#REF!,"AAAAAH+L3d0=")</f>
        <v>#REF!</v>
      </c>
      <c r="HO50" t="e">
        <f>AND(#REF!,"AAAAAH+L3d4=")</f>
        <v>#REF!</v>
      </c>
      <c r="HP50" t="e">
        <f>AND(#REF!,"AAAAAH+L3d8=")</f>
        <v>#REF!</v>
      </c>
      <c r="HQ50" t="e">
        <f>AND(#REF!,"AAAAAH+L3eA=")</f>
        <v>#REF!</v>
      </c>
      <c r="HR50" t="e">
        <f>AND(#REF!,"AAAAAH+L3eE=")</f>
        <v>#REF!</v>
      </c>
      <c r="HS50" t="e">
        <f>AND(#REF!,"AAAAAH+L3eI=")</f>
        <v>#REF!</v>
      </c>
      <c r="HT50" t="e">
        <f>AND(#REF!,"AAAAAH+L3eM=")</f>
        <v>#REF!</v>
      </c>
      <c r="HU50" t="e">
        <f>AND(#REF!,"AAAAAH+L3eQ=")</f>
        <v>#REF!</v>
      </c>
      <c r="HV50" t="e">
        <f>AND(#REF!,"AAAAAH+L3eU=")</f>
        <v>#REF!</v>
      </c>
      <c r="HW50" t="e">
        <f>AND(#REF!,"AAAAAH+L3eY=")</f>
        <v>#REF!</v>
      </c>
      <c r="HX50" t="e">
        <f>AND(#REF!,"AAAAAH+L3ec=")</f>
        <v>#REF!</v>
      </c>
      <c r="HY50" t="e">
        <f>AND(#REF!,"AAAAAH+L3eg=")</f>
        <v>#REF!</v>
      </c>
      <c r="HZ50" t="e">
        <f>AND(#REF!,"AAAAAH+L3ek=")</f>
        <v>#REF!</v>
      </c>
      <c r="IA50" t="e">
        <f>AND(#REF!,"AAAAAH+L3eo=")</f>
        <v>#REF!</v>
      </c>
      <c r="IB50" t="e">
        <f>AND(#REF!,"AAAAAH+L3es=")</f>
        <v>#REF!</v>
      </c>
      <c r="IC50" t="e">
        <f>AND(#REF!,"AAAAAH+L3ew=")</f>
        <v>#REF!</v>
      </c>
      <c r="ID50" t="e">
        <f>AND(#REF!,"AAAAAH+L3e0=")</f>
        <v>#REF!</v>
      </c>
      <c r="IE50" t="e">
        <f>AND(#REF!,"AAAAAH+L3e4=")</f>
        <v>#REF!</v>
      </c>
      <c r="IF50" t="e">
        <f>AND(#REF!,"AAAAAH+L3e8=")</f>
        <v>#REF!</v>
      </c>
      <c r="IG50" t="e">
        <f>AND(#REF!,"AAAAAH+L3fA=")</f>
        <v>#REF!</v>
      </c>
      <c r="IH50" t="e">
        <f>AND(#REF!,"AAAAAH+L3fE=")</f>
        <v>#REF!</v>
      </c>
      <c r="II50" t="e">
        <f>AND(#REF!,"AAAAAH+L3fI=")</f>
        <v>#REF!</v>
      </c>
      <c r="IJ50" t="e">
        <f>AND(#REF!,"AAAAAH+L3fM=")</f>
        <v>#REF!</v>
      </c>
      <c r="IK50" t="e">
        <f>AND(#REF!,"AAAAAH+L3fQ=")</f>
        <v>#REF!</v>
      </c>
      <c r="IL50" t="e">
        <f>AND(#REF!,"AAAAAH+L3fU=")</f>
        <v>#REF!</v>
      </c>
      <c r="IM50" t="e">
        <f>AND(#REF!,"AAAAAH+L3fY=")</f>
        <v>#REF!</v>
      </c>
      <c r="IN50" t="e">
        <f>AND(#REF!,"AAAAAH+L3fc=")</f>
        <v>#REF!</v>
      </c>
      <c r="IO50" t="e">
        <f>AND(#REF!,"AAAAAH+L3fg=")</f>
        <v>#REF!</v>
      </c>
      <c r="IP50" t="e">
        <f>AND(#REF!,"AAAAAH+L3fk=")</f>
        <v>#REF!</v>
      </c>
      <c r="IQ50" t="e">
        <f>AND(#REF!,"AAAAAH+L3fo=")</f>
        <v>#REF!</v>
      </c>
      <c r="IR50" t="e">
        <f>AND(#REF!,"AAAAAH+L3fs=")</f>
        <v>#REF!</v>
      </c>
      <c r="IS50" t="e">
        <f>AND(#REF!,"AAAAAH+L3fw=")</f>
        <v>#REF!</v>
      </c>
      <c r="IT50" t="e">
        <f>AND(#REF!,"AAAAAH+L3f0=")</f>
        <v>#REF!</v>
      </c>
      <c r="IU50" t="e">
        <f>AND(#REF!,"AAAAAH+L3f4=")</f>
        <v>#REF!</v>
      </c>
      <c r="IV50" t="e">
        <f>AND(#REF!,"AAAAAH+L3f8=")</f>
        <v>#REF!</v>
      </c>
    </row>
    <row r="51" spans="1:256" x14ac:dyDescent="0.2">
      <c r="A51" t="e">
        <f>AND(#REF!,"AAAAAFU1aQA=")</f>
        <v>#REF!</v>
      </c>
      <c r="B51" t="e">
        <f>AND(#REF!,"AAAAAFU1aQE=")</f>
        <v>#REF!</v>
      </c>
      <c r="C51" t="e">
        <f>AND(#REF!,"AAAAAFU1aQI=")</f>
        <v>#REF!</v>
      </c>
      <c r="D51" t="e">
        <f>AND(#REF!,"AAAAAFU1aQM=")</f>
        <v>#REF!</v>
      </c>
      <c r="E51" t="e">
        <f>AND(#REF!,"AAAAAFU1aQQ=")</f>
        <v>#REF!</v>
      </c>
      <c r="F51" t="e">
        <f>AND(#REF!,"AAAAAFU1aQU=")</f>
        <v>#REF!</v>
      </c>
      <c r="G51" t="e">
        <f>AND(#REF!,"AAAAAFU1aQY=")</f>
        <v>#REF!</v>
      </c>
      <c r="H51" t="e">
        <f>AND(#REF!,"AAAAAFU1aQc=")</f>
        <v>#REF!</v>
      </c>
      <c r="I51" t="e">
        <f>AND(#REF!,"AAAAAFU1aQg=")</f>
        <v>#REF!</v>
      </c>
      <c r="J51" t="e">
        <f>AND(#REF!,"AAAAAFU1aQk=")</f>
        <v>#REF!</v>
      </c>
      <c r="K51" t="e">
        <f>AND(#REF!,"AAAAAFU1aQo=")</f>
        <v>#REF!</v>
      </c>
      <c r="L51" t="e">
        <f>AND(#REF!,"AAAAAFU1aQs=")</f>
        <v>#REF!</v>
      </c>
      <c r="M51" t="e">
        <f>AND(#REF!,"AAAAAFU1aQw=")</f>
        <v>#REF!</v>
      </c>
      <c r="N51" t="e">
        <f>AND(#REF!,"AAAAAFU1aQ0=")</f>
        <v>#REF!</v>
      </c>
      <c r="O51" t="e">
        <f>AND(#REF!,"AAAAAFU1aQ4=")</f>
        <v>#REF!</v>
      </c>
      <c r="P51" t="e">
        <f>AND(#REF!,"AAAAAFU1aQ8=")</f>
        <v>#REF!</v>
      </c>
      <c r="Q51" t="e">
        <f>AND(#REF!,"AAAAAFU1aRA=")</f>
        <v>#REF!</v>
      </c>
      <c r="R51" t="e">
        <f>AND(#REF!,"AAAAAFU1aRE=")</f>
        <v>#REF!</v>
      </c>
      <c r="S51" t="e">
        <f>AND(#REF!,"AAAAAFU1aRI=")</f>
        <v>#REF!</v>
      </c>
      <c r="T51" t="e">
        <f>AND(#REF!,"AAAAAFU1aRM=")</f>
        <v>#REF!</v>
      </c>
      <c r="U51" t="e">
        <f>AND(#REF!,"AAAAAFU1aRQ=")</f>
        <v>#REF!</v>
      </c>
      <c r="V51" t="e">
        <f>AND(#REF!,"AAAAAFU1aRU=")</f>
        <v>#REF!</v>
      </c>
      <c r="W51" t="e">
        <f>AND(#REF!,"AAAAAFU1aRY=")</f>
        <v>#REF!</v>
      </c>
      <c r="X51" t="e">
        <f>AND(#REF!,"AAAAAFU1aRc=")</f>
        <v>#REF!</v>
      </c>
      <c r="Y51" t="e">
        <f>AND(#REF!,"AAAAAFU1aRg=")</f>
        <v>#REF!</v>
      </c>
      <c r="Z51" t="e">
        <f>AND(#REF!,"AAAAAFU1aRk=")</f>
        <v>#REF!</v>
      </c>
      <c r="AA51" t="e">
        <f>AND(#REF!,"AAAAAFU1aRo=")</f>
        <v>#REF!</v>
      </c>
      <c r="AB51" t="e">
        <f>AND(#REF!,"AAAAAFU1aRs=")</f>
        <v>#REF!</v>
      </c>
      <c r="AC51" t="e">
        <f>AND(#REF!,"AAAAAFU1aRw=")</f>
        <v>#REF!</v>
      </c>
      <c r="AD51" t="e">
        <f>AND(#REF!,"AAAAAFU1aR0=")</f>
        <v>#REF!</v>
      </c>
      <c r="AE51" t="e">
        <f>AND(#REF!,"AAAAAFU1aR4=")</f>
        <v>#REF!</v>
      </c>
      <c r="AF51" t="e">
        <f>AND(#REF!,"AAAAAFU1aR8=")</f>
        <v>#REF!</v>
      </c>
      <c r="AG51" t="e">
        <f>IF(#REF!,"AAAAAFU1aSA=",0)</f>
        <v>#REF!</v>
      </c>
      <c r="AH51" t="e">
        <f>AND(#REF!,"AAAAAFU1aSE=")</f>
        <v>#REF!</v>
      </c>
      <c r="AI51" t="e">
        <f>AND(#REF!,"AAAAAFU1aSI=")</f>
        <v>#REF!</v>
      </c>
      <c r="AJ51" t="e">
        <f>AND(#REF!,"AAAAAFU1aSM=")</f>
        <v>#REF!</v>
      </c>
      <c r="AK51" t="e">
        <f>AND(#REF!,"AAAAAFU1aSQ=")</f>
        <v>#REF!</v>
      </c>
      <c r="AL51" t="e">
        <f>AND(#REF!,"AAAAAFU1aSU=")</f>
        <v>#REF!</v>
      </c>
      <c r="AM51" t="e">
        <f>AND(#REF!,"AAAAAFU1aSY=")</f>
        <v>#REF!</v>
      </c>
      <c r="AN51" t="e">
        <f>AND(#REF!,"AAAAAFU1aSc=")</f>
        <v>#REF!</v>
      </c>
      <c r="AO51" t="e">
        <f>AND(#REF!,"AAAAAFU1aSg=")</f>
        <v>#REF!</v>
      </c>
      <c r="AP51" t="e">
        <f>AND(#REF!,"AAAAAFU1aSk=")</f>
        <v>#REF!</v>
      </c>
      <c r="AQ51" t="e">
        <f>AND(#REF!,"AAAAAFU1aSo=")</f>
        <v>#REF!</v>
      </c>
      <c r="AR51" t="e">
        <f>AND(#REF!,"AAAAAFU1aSs=")</f>
        <v>#REF!</v>
      </c>
      <c r="AS51" t="e">
        <f>AND(#REF!,"AAAAAFU1aSw=")</f>
        <v>#REF!</v>
      </c>
      <c r="AT51" t="e">
        <f>AND(#REF!,"AAAAAFU1aS0=")</f>
        <v>#REF!</v>
      </c>
      <c r="AU51" t="e">
        <f>AND(#REF!,"AAAAAFU1aS4=")</f>
        <v>#REF!</v>
      </c>
      <c r="AV51" t="e">
        <f>AND(#REF!,"AAAAAFU1aS8=")</f>
        <v>#REF!</v>
      </c>
      <c r="AW51" t="e">
        <f>AND(#REF!,"AAAAAFU1aTA=")</f>
        <v>#REF!</v>
      </c>
      <c r="AX51" t="e">
        <f>AND(#REF!,"AAAAAFU1aTE=")</f>
        <v>#REF!</v>
      </c>
      <c r="AY51" t="e">
        <f>AND(#REF!,"AAAAAFU1aTI=")</f>
        <v>#REF!</v>
      </c>
      <c r="AZ51" t="e">
        <f>AND(#REF!,"AAAAAFU1aTM=")</f>
        <v>#REF!</v>
      </c>
      <c r="BA51" t="e">
        <f>AND(#REF!,"AAAAAFU1aTQ=")</f>
        <v>#REF!</v>
      </c>
      <c r="BB51" t="e">
        <f>AND(#REF!,"AAAAAFU1aTU=")</f>
        <v>#REF!</v>
      </c>
      <c r="BC51" t="e">
        <f>AND(#REF!,"AAAAAFU1aTY=")</f>
        <v>#REF!</v>
      </c>
      <c r="BD51" t="e">
        <f>AND(#REF!,"AAAAAFU1aTc=")</f>
        <v>#REF!</v>
      </c>
      <c r="BE51" t="e">
        <f>AND(#REF!,"AAAAAFU1aTg=")</f>
        <v>#REF!</v>
      </c>
      <c r="BF51" t="e">
        <f>AND(#REF!,"AAAAAFU1aTk=")</f>
        <v>#REF!</v>
      </c>
      <c r="BG51" t="e">
        <f>AND(#REF!,"AAAAAFU1aTo=")</f>
        <v>#REF!</v>
      </c>
      <c r="BH51" t="e">
        <f>AND(#REF!,"AAAAAFU1aTs=")</f>
        <v>#REF!</v>
      </c>
      <c r="BI51" t="e">
        <f>AND(#REF!,"AAAAAFU1aTw=")</f>
        <v>#REF!</v>
      </c>
      <c r="BJ51" t="e">
        <f>AND(#REF!,"AAAAAFU1aT0=")</f>
        <v>#REF!</v>
      </c>
      <c r="BK51" t="e">
        <f>AND(#REF!,"AAAAAFU1aT4=")</f>
        <v>#REF!</v>
      </c>
      <c r="BL51" t="e">
        <f>AND(#REF!,"AAAAAFU1aT8=")</f>
        <v>#REF!</v>
      </c>
      <c r="BM51" t="e">
        <f>AND(#REF!,"AAAAAFU1aUA=")</f>
        <v>#REF!</v>
      </c>
      <c r="BN51" t="e">
        <f>AND(#REF!,"AAAAAFU1aUE=")</f>
        <v>#REF!</v>
      </c>
      <c r="BO51" t="e">
        <f>AND(#REF!,"AAAAAFU1aUI=")</f>
        <v>#REF!</v>
      </c>
      <c r="BP51" t="e">
        <f>AND(#REF!,"AAAAAFU1aUM=")</f>
        <v>#REF!</v>
      </c>
      <c r="BQ51" t="e">
        <f>AND(#REF!,"AAAAAFU1aUQ=")</f>
        <v>#REF!</v>
      </c>
      <c r="BR51" t="e">
        <f>AND(#REF!,"AAAAAFU1aUU=")</f>
        <v>#REF!</v>
      </c>
      <c r="BS51" t="e">
        <f>AND(#REF!,"AAAAAFU1aUY=")</f>
        <v>#REF!</v>
      </c>
      <c r="BT51" t="e">
        <f>AND(#REF!,"AAAAAFU1aUc=")</f>
        <v>#REF!</v>
      </c>
      <c r="BU51" t="e">
        <f>AND(#REF!,"AAAAAFU1aUg=")</f>
        <v>#REF!</v>
      </c>
      <c r="BV51" t="e">
        <f>AND(#REF!,"AAAAAFU1aUk=")</f>
        <v>#REF!</v>
      </c>
      <c r="BW51" t="e">
        <f>AND(#REF!,"AAAAAFU1aUo=")</f>
        <v>#REF!</v>
      </c>
      <c r="BX51" t="e">
        <f>AND(#REF!,"AAAAAFU1aUs=")</f>
        <v>#REF!</v>
      </c>
      <c r="BY51" t="e">
        <f>AND(#REF!,"AAAAAFU1aUw=")</f>
        <v>#REF!</v>
      </c>
      <c r="BZ51" t="e">
        <f>AND(#REF!,"AAAAAFU1aU0=")</f>
        <v>#REF!</v>
      </c>
      <c r="CA51" t="e">
        <f>AND(#REF!,"AAAAAFU1aU4=")</f>
        <v>#REF!</v>
      </c>
      <c r="CB51" t="e">
        <f>AND(#REF!,"AAAAAFU1aU8=")</f>
        <v>#REF!</v>
      </c>
      <c r="CC51" t="e">
        <f>AND(#REF!,"AAAAAFU1aVA=")</f>
        <v>#REF!</v>
      </c>
      <c r="CD51" t="e">
        <f>AND(#REF!,"AAAAAFU1aVE=")</f>
        <v>#REF!</v>
      </c>
      <c r="CE51" t="e">
        <f>AND(#REF!,"AAAAAFU1aVI=")</f>
        <v>#REF!</v>
      </c>
      <c r="CF51" t="e">
        <f>AND(#REF!,"AAAAAFU1aVM=")</f>
        <v>#REF!</v>
      </c>
      <c r="CG51" t="e">
        <f>AND(#REF!,"AAAAAFU1aVQ=")</f>
        <v>#REF!</v>
      </c>
      <c r="CH51" t="e">
        <f>AND(#REF!,"AAAAAFU1aVU=")</f>
        <v>#REF!</v>
      </c>
      <c r="CI51" t="e">
        <f>AND(#REF!,"AAAAAFU1aVY=")</f>
        <v>#REF!</v>
      </c>
      <c r="CJ51" t="e">
        <f>AND(#REF!,"AAAAAFU1aVc=")</f>
        <v>#REF!</v>
      </c>
      <c r="CK51" t="e">
        <f>AND(#REF!,"AAAAAFU1aVg=")</f>
        <v>#REF!</v>
      </c>
      <c r="CL51" t="e">
        <f>AND(#REF!,"AAAAAFU1aVk=")</f>
        <v>#REF!</v>
      </c>
      <c r="CM51" t="e">
        <f>AND(#REF!,"AAAAAFU1aVo=")</f>
        <v>#REF!</v>
      </c>
      <c r="CN51" t="e">
        <f>AND(#REF!,"AAAAAFU1aVs=")</f>
        <v>#REF!</v>
      </c>
      <c r="CO51" t="e">
        <f>AND(#REF!,"AAAAAFU1aVw=")</f>
        <v>#REF!</v>
      </c>
      <c r="CP51" t="e">
        <f>AND(#REF!,"AAAAAFU1aV0=")</f>
        <v>#REF!</v>
      </c>
      <c r="CQ51" t="e">
        <f>AND(#REF!,"AAAAAFU1aV4=")</f>
        <v>#REF!</v>
      </c>
      <c r="CR51" t="e">
        <f>AND(#REF!,"AAAAAFU1aV8=")</f>
        <v>#REF!</v>
      </c>
      <c r="CS51" t="e">
        <f>AND(#REF!,"AAAAAFU1aWA=")</f>
        <v>#REF!</v>
      </c>
      <c r="CT51" t="e">
        <f>AND(#REF!,"AAAAAFU1aWE=")</f>
        <v>#REF!</v>
      </c>
      <c r="CU51" t="e">
        <f>AND(#REF!,"AAAAAFU1aWI=")</f>
        <v>#REF!</v>
      </c>
      <c r="CV51" t="e">
        <f>AND(#REF!,"AAAAAFU1aWM=")</f>
        <v>#REF!</v>
      </c>
      <c r="CW51" t="e">
        <f>AND(#REF!,"AAAAAFU1aWQ=")</f>
        <v>#REF!</v>
      </c>
      <c r="CX51" t="e">
        <f>AND(#REF!,"AAAAAFU1aWU=")</f>
        <v>#REF!</v>
      </c>
      <c r="CY51" t="e">
        <f>AND(#REF!,"AAAAAFU1aWY=")</f>
        <v>#REF!</v>
      </c>
      <c r="CZ51" t="e">
        <f>AND(#REF!,"AAAAAFU1aWc=")</f>
        <v>#REF!</v>
      </c>
      <c r="DA51" t="e">
        <f>AND(#REF!,"AAAAAFU1aWg=")</f>
        <v>#REF!</v>
      </c>
      <c r="DB51" t="e">
        <f>AND(#REF!,"AAAAAFU1aWk=")</f>
        <v>#REF!</v>
      </c>
      <c r="DC51" t="e">
        <f>AND(#REF!,"AAAAAFU1aWo=")</f>
        <v>#REF!</v>
      </c>
      <c r="DD51" t="e">
        <f>IF(#REF!,"AAAAAFU1aWs=",0)</f>
        <v>#REF!</v>
      </c>
      <c r="DE51" t="e">
        <f>AND(#REF!,"AAAAAFU1aWw=")</f>
        <v>#REF!</v>
      </c>
      <c r="DF51" t="e">
        <f>AND(#REF!,"AAAAAFU1aW0=")</f>
        <v>#REF!</v>
      </c>
      <c r="DG51" t="e">
        <f>AND(#REF!,"AAAAAFU1aW4=")</f>
        <v>#REF!</v>
      </c>
      <c r="DH51" t="e">
        <f>AND(#REF!,"AAAAAFU1aW8=")</f>
        <v>#REF!</v>
      </c>
      <c r="DI51" t="e">
        <f>AND(#REF!,"AAAAAFU1aXA=")</f>
        <v>#REF!</v>
      </c>
      <c r="DJ51" t="e">
        <f>AND(#REF!,"AAAAAFU1aXE=")</f>
        <v>#REF!</v>
      </c>
      <c r="DK51" t="e">
        <f>AND(#REF!,"AAAAAFU1aXI=")</f>
        <v>#REF!</v>
      </c>
      <c r="DL51" t="e">
        <f>AND(#REF!,"AAAAAFU1aXM=")</f>
        <v>#REF!</v>
      </c>
      <c r="DM51" t="e">
        <f>AND(#REF!,"AAAAAFU1aXQ=")</f>
        <v>#REF!</v>
      </c>
      <c r="DN51" t="e">
        <f>AND(#REF!,"AAAAAFU1aXU=")</f>
        <v>#REF!</v>
      </c>
      <c r="DO51" t="e">
        <f>AND(#REF!,"AAAAAFU1aXY=")</f>
        <v>#REF!</v>
      </c>
      <c r="DP51" t="e">
        <f>AND(#REF!,"AAAAAFU1aXc=")</f>
        <v>#REF!</v>
      </c>
      <c r="DQ51" t="e">
        <f>AND(#REF!,"AAAAAFU1aXg=")</f>
        <v>#REF!</v>
      </c>
      <c r="DR51" t="e">
        <f>AND(#REF!,"AAAAAFU1aXk=")</f>
        <v>#REF!</v>
      </c>
      <c r="DS51" t="e">
        <f>AND(#REF!,"AAAAAFU1aXo=")</f>
        <v>#REF!</v>
      </c>
      <c r="DT51" t="e">
        <f>AND(#REF!,"AAAAAFU1aXs=")</f>
        <v>#REF!</v>
      </c>
      <c r="DU51" t="e">
        <f>AND(#REF!,"AAAAAFU1aXw=")</f>
        <v>#REF!</v>
      </c>
      <c r="DV51" t="e">
        <f>AND(#REF!,"AAAAAFU1aX0=")</f>
        <v>#REF!</v>
      </c>
      <c r="DW51" t="e">
        <f>AND(#REF!,"AAAAAFU1aX4=")</f>
        <v>#REF!</v>
      </c>
      <c r="DX51" t="e">
        <f>AND(#REF!,"AAAAAFU1aX8=")</f>
        <v>#REF!</v>
      </c>
      <c r="DY51" t="e">
        <f>AND(#REF!,"AAAAAFU1aYA=")</f>
        <v>#REF!</v>
      </c>
      <c r="DZ51" t="e">
        <f>AND(#REF!,"AAAAAFU1aYE=")</f>
        <v>#REF!</v>
      </c>
      <c r="EA51" t="e">
        <f>AND(#REF!,"AAAAAFU1aYI=")</f>
        <v>#REF!</v>
      </c>
      <c r="EB51" t="e">
        <f>AND(#REF!,"AAAAAFU1aYM=")</f>
        <v>#REF!</v>
      </c>
      <c r="EC51" t="e">
        <f>AND(#REF!,"AAAAAFU1aYQ=")</f>
        <v>#REF!</v>
      </c>
      <c r="ED51" t="e">
        <f>AND(#REF!,"AAAAAFU1aYU=")</f>
        <v>#REF!</v>
      </c>
      <c r="EE51" t="e">
        <f>AND(#REF!,"AAAAAFU1aYY=")</f>
        <v>#REF!</v>
      </c>
      <c r="EF51" t="e">
        <f>AND(#REF!,"AAAAAFU1aYc=")</f>
        <v>#REF!</v>
      </c>
      <c r="EG51" t="e">
        <f>AND(#REF!,"AAAAAFU1aYg=")</f>
        <v>#REF!</v>
      </c>
      <c r="EH51" t="e">
        <f>AND(#REF!,"AAAAAFU1aYk=")</f>
        <v>#REF!</v>
      </c>
      <c r="EI51" t="e">
        <f>AND(#REF!,"AAAAAFU1aYo=")</f>
        <v>#REF!</v>
      </c>
      <c r="EJ51" t="e">
        <f>AND(#REF!,"AAAAAFU1aYs=")</f>
        <v>#REF!</v>
      </c>
      <c r="EK51" t="e">
        <f>AND(#REF!,"AAAAAFU1aYw=")</f>
        <v>#REF!</v>
      </c>
      <c r="EL51" t="e">
        <f>AND(#REF!,"AAAAAFU1aY0=")</f>
        <v>#REF!</v>
      </c>
      <c r="EM51" t="e">
        <f>AND(#REF!,"AAAAAFU1aY4=")</f>
        <v>#REF!</v>
      </c>
      <c r="EN51" t="e">
        <f>AND(#REF!,"AAAAAFU1aY8=")</f>
        <v>#REF!</v>
      </c>
      <c r="EO51" t="e">
        <f>AND(#REF!,"AAAAAFU1aZA=")</f>
        <v>#REF!</v>
      </c>
      <c r="EP51" t="e">
        <f>AND(#REF!,"AAAAAFU1aZE=")</f>
        <v>#REF!</v>
      </c>
      <c r="EQ51" t="e">
        <f>AND(#REF!,"AAAAAFU1aZI=")</f>
        <v>#REF!</v>
      </c>
      <c r="ER51" t="e">
        <f>AND(#REF!,"AAAAAFU1aZM=")</f>
        <v>#REF!</v>
      </c>
      <c r="ES51" t="e">
        <f>AND(#REF!,"AAAAAFU1aZQ=")</f>
        <v>#REF!</v>
      </c>
      <c r="ET51" t="e">
        <f>AND(#REF!,"AAAAAFU1aZU=")</f>
        <v>#REF!</v>
      </c>
      <c r="EU51" t="e">
        <f>AND(#REF!,"AAAAAFU1aZY=")</f>
        <v>#REF!</v>
      </c>
      <c r="EV51" t="e">
        <f>AND(#REF!,"AAAAAFU1aZc=")</f>
        <v>#REF!</v>
      </c>
      <c r="EW51" t="e">
        <f>AND(#REF!,"AAAAAFU1aZg=")</f>
        <v>#REF!</v>
      </c>
      <c r="EX51" t="e">
        <f>AND(#REF!,"AAAAAFU1aZk=")</f>
        <v>#REF!</v>
      </c>
      <c r="EY51" t="e">
        <f>AND(#REF!,"AAAAAFU1aZo=")</f>
        <v>#REF!</v>
      </c>
      <c r="EZ51" t="e">
        <f>AND(#REF!,"AAAAAFU1aZs=")</f>
        <v>#REF!</v>
      </c>
      <c r="FA51" t="e">
        <f>AND(#REF!,"AAAAAFU1aZw=")</f>
        <v>#REF!</v>
      </c>
      <c r="FB51" t="e">
        <f>AND(#REF!,"AAAAAFU1aZ0=")</f>
        <v>#REF!</v>
      </c>
      <c r="FC51" t="e">
        <f>AND(#REF!,"AAAAAFU1aZ4=")</f>
        <v>#REF!</v>
      </c>
      <c r="FD51" t="e">
        <f>AND(#REF!,"AAAAAFU1aZ8=")</f>
        <v>#REF!</v>
      </c>
      <c r="FE51" t="e">
        <f>AND(#REF!,"AAAAAFU1aaA=")</f>
        <v>#REF!</v>
      </c>
      <c r="FF51" t="e">
        <f>AND(#REF!,"AAAAAFU1aaE=")</f>
        <v>#REF!</v>
      </c>
      <c r="FG51" t="e">
        <f>AND(#REF!,"AAAAAFU1aaI=")</f>
        <v>#REF!</v>
      </c>
      <c r="FH51" t="e">
        <f>AND(#REF!,"AAAAAFU1aaM=")</f>
        <v>#REF!</v>
      </c>
      <c r="FI51" t="e">
        <f>AND(#REF!,"AAAAAFU1aaQ=")</f>
        <v>#REF!</v>
      </c>
      <c r="FJ51" t="e">
        <f>AND(#REF!,"AAAAAFU1aaU=")</f>
        <v>#REF!</v>
      </c>
      <c r="FK51" t="e">
        <f>AND(#REF!,"AAAAAFU1aaY=")</f>
        <v>#REF!</v>
      </c>
      <c r="FL51" t="e">
        <f>AND(#REF!,"AAAAAFU1aac=")</f>
        <v>#REF!</v>
      </c>
      <c r="FM51" t="e">
        <f>AND(#REF!,"AAAAAFU1aag=")</f>
        <v>#REF!</v>
      </c>
      <c r="FN51" t="e">
        <f>AND(#REF!,"AAAAAFU1aak=")</f>
        <v>#REF!</v>
      </c>
      <c r="FO51" t="e">
        <f>AND(#REF!,"AAAAAFU1aao=")</f>
        <v>#REF!</v>
      </c>
      <c r="FP51" t="e">
        <f>AND(#REF!,"AAAAAFU1aas=")</f>
        <v>#REF!</v>
      </c>
      <c r="FQ51" t="e">
        <f>AND(#REF!,"AAAAAFU1aaw=")</f>
        <v>#REF!</v>
      </c>
      <c r="FR51" t="e">
        <f>AND(#REF!,"AAAAAFU1aa0=")</f>
        <v>#REF!</v>
      </c>
      <c r="FS51" t="e">
        <f>AND(#REF!,"AAAAAFU1aa4=")</f>
        <v>#REF!</v>
      </c>
      <c r="FT51" t="e">
        <f>AND(#REF!,"AAAAAFU1aa8=")</f>
        <v>#REF!</v>
      </c>
      <c r="FU51" t="e">
        <f>AND(#REF!,"AAAAAFU1abA=")</f>
        <v>#REF!</v>
      </c>
      <c r="FV51" t="e">
        <f>AND(#REF!,"AAAAAFU1abE=")</f>
        <v>#REF!</v>
      </c>
      <c r="FW51" t="e">
        <f>AND(#REF!,"AAAAAFU1abI=")</f>
        <v>#REF!</v>
      </c>
      <c r="FX51" t="e">
        <f>AND(#REF!,"AAAAAFU1abM=")</f>
        <v>#REF!</v>
      </c>
      <c r="FY51" t="e">
        <f>AND(#REF!,"AAAAAFU1abQ=")</f>
        <v>#REF!</v>
      </c>
      <c r="FZ51" t="e">
        <f>AND(#REF!,"AAAAAFU1abU=")</f>
        <v>#REF!</v>
      </c>
      <c r="GA51" t="e">
        <f>IF(#REF!,"AAAAAFU1abY=",0)</f>
        <v>#REF!</v>
      </c>
      <c r="GB51" t="e">
        <f>AND(#REF!,"AAAAAFU1abc=")</f>
        <v>#REF!</v>
      </c>
      <c r="GC51" t="e">
        <f>AND(#REF!,"AAAAAFU1abg=")</f>
        <v>#REF!</v>
      </c>
      <c r="GD51" t="e">
        <f>AND(#REF!,"AAAAAFU1abk=")</f>
        <v>#REF!</v>
      </c>
      <c r="GE51" t="e">
        <f>AND(#REF!,"AAAAAFU1abo=")</f>
        <v>#REF!</v>
      </c>
      <c r="GF51" t="e">
        <f>AND(#REF!,"AAAAAFU1abs=")</f>
        <v>#REF!</v>
      </c>
      <c r="GG51" t="e">
        <f>AND(#REF!,"AAAAAFU1abw=")</f>
        <v>#REF!</v>
      </c>
      <c r="GH51" t="e">
        <f>AND(#REF!,"AAAAAFU1ab0=")</f>
        <v>#REF!</v>
      </c>
      <c r="GI51" t="e">
        <f>AND(#REF!,"AAAAAFU1ab4=")</f>
        <v>#REF!</v>
      </c>
      <c r="GJ51" t="e">
        <f>AND(#REF!,"AAAAAFU1ab8=")</f>
        <v>#REF!</v>
      </c>
      <c r="GK51" t="e">
        <f>AND(#REF!,"AAAAAFU1acA=")</f>
        <v>#REF!</v>
      </c>
      <c r="GL51" t="e">
        <f>AND(#REF!,"AAAAAFU1acE=")</f>
        <v>#REF!</v>
      </c>
      <c r="GM51" t="e">
        <f>AND(#REF!,"AAAAAFU1acI=")</f>
        <v>#REF!</v>
      </c>
      <c r="GN51" t="e">
        <f>AND(#REF!,"AAAAAFU1acM=")</f>
        <v>#REF!</v>
      </c>
      <c r="GO51" t="e">
        <f>AND(#REF!,"AAAAAFU1acQ=")</f>
        <v>#REF!</v>
      </c>
      <c r="GP51" t="e">
        <f>AND(#REF!,"AAAAAFU1acU=")</f>
        <v>#REF!</v>
      </c>
      <c r="GQ51" t="e">
        <f>AND(#REF!,"AAAAAFU1acY=")</f>
        <v>#REF!</v>
      </c>
      <c r="GR51" t="e">
        <f>AND(#REF!,"AAAAAFU1acc=")</f>
        <v>#REF!</v>
      </c>
      <c r="GS51" t="e">
        <f>AND(#REF!,"AAAAAFU1acg=")</f>
        <v>#REF!</v>
      </c>
      <c r="GT51" t="e">
        <f>AND(#REF!,"AAAAAFU1ack=")</f>
        <v>#REF!</v>
      </c>
      <c r="GU51" t="e">
        <f>AND(#REF!,"AAAAAFU1aco=")</f>
        <v>#REF!</v>
      </c>
      <c r="GV51" t="e">
        <f>AND(#REF!,"AAAAAFU1acs=")</f>
        <v>#REF!</v>
      </c>
      <c r="GW51" t="e">
        <f>AND(#REF!,"AAAAAFU1acw=")</f>
        <v>#REF!</v>
      </c>
      <c r="GX51" t="e">
        <f>AND(#REF!,"AAAAAFU1ac0=")</f>
        <v>#REF!</v>
      </c>
      <c r="GY51" t="e">
        <f>AND(#REF!,"AAAAAFU1ac4=")</f>
        <v>#REF!</v>
      </c>
      <c r="GZ51" t="e">
        <f>AND(#REF!,"AAAAAFU1ac8=")</f>
        <v>#REF!</v>
      </c>
      <c r="HA51" t="e">
        <f>AND(#REF!,"AAAAAFU1adA=")</f>
        <v>#REF!</v>
      </c>
      <c r="HB51" t="e">
        <f>AND(#REF!,"AAAAAFU1adE=")</f>
        <v>#REF!</v>
      </c>
      <c r="HC51" t="e">
        <f>AND(#REF!,"AAAAAFU1adI=")</f>
        <v>#REF!</v>
      </c>
      <c r="HD51" t="e">
        <f>AND(#REF!,"AAAAAFU1adM=")</f>
        <v>#REF!</v>
      </c>
      <c r="HE51" t="e">
        <f>AND(#REF!,"AAAAAFU1adQ=")</f>
        <v>#REF!</v>
      </c>
      <c r="HF51" t="e">
        <f>AND(#REF!,"AAAAAFU1adU=")</f>
        <v>#REF!</v>
      </c>
      <c r="HG51" t="e">
        <f>AND(#REF!,"AAAAAFU1adY=")</f>
        <v>#REF!</v>
      </c>
      <c r="HH51" t="e">
        <f>AND(#REF!,"AAAAAFU1adc=")</f>
        <v>#REF!</v>
      </c>
      <c r="HI51" t="e">
        <f>AND(#REF!,"AAAAAFU1adg=")</f>
        <v>#REF!</v>
      </c>
      <c r="HJ51" t="e">
        <f>AND(#REF!,"AAAAAFU1adk=")</f>
        <v>#REF!</v>
      </c>
      <c r="HK51" t="e">
        <f>AND(#REF!,"AAAAAFU1ado=")</f>
        <v>#REF!</v>
      </c>
      <c r="HL51" t="e">
        <f>AND(#REF!,"AAAAAFU1ads=")</f>
        <v>#REF!</v>
      </c>
      <c r="HM51" t="e">
        <f>AND(#REF!,"AAAAAFU1adw=")</f>
        <v>#REF!</v>
      </c>
      <c r="HN51" t="e">
        <f>AND(#REF!,"AAAAAFU1ad0=")</f>
        <v>#REF!</v>
      </c>
      <c r="HO51" t="e">
        <f>AND(#REF!,"AAAAAFU1ad4=")</f>
        <v>#REF!</v>
      </c>
      <c r="HP51" t="e">
        <f>AND(#REF!,"AAAAAFU1ad8=")</f>
        <v>#REF!</v>
      </c>
      <c r="HQ51" t="e">
        <f>AND(#REF!,"AAAAAFU1aeA=")</f>
        <v>#REF!</v>
      </c>
      <c r="HR51" t="e">
        <f>AND(#REF!,"AAAAAFU1aeE=")</f>
        <v>#REF!</v>
      </c>
      <c r="HS51" t="e">
        <f>AND(#REF!,"AAAAAFU1aeI=")</f>
        <v>#REF!</v>
      </c>
      <c r="HT51" t="e">
        <f>AND(#REF!,"AAAAAFU1aeM=")</f>
        <v>#REF!</v>
      </c>
      <c r="HU51" t="e">
        <f>AND(#REF!,"AAAAAFU1aeQ=")</f>
        <v>#REF!</v>
      </c>
      <c r="HV51" t="e">
        <f>AND(#REF!,"AAAAAFU1aeU=")</f>
        <v>#REF!</v>
      </c>
      <c r="HW51" t="e">
        <f>AND(#REF!,"AAAAAFU1aeY=")</f>
        <v>#REF!</v>
      </c>
      <c r="HX51" t="e">
        <f>AND(#REF!,"AAAAAFU1aec=")</f>
        <v>#REF!</v>
      </c>
      <c r="HY51" t="e">
        <f>AND(#REF!,"AAAAAFU1aeg=")</f>
        <v>#REF!</v>
      </c>
      <c r="HZ51" t="e">
        <f>AND(#REF!,"AAAAAFU1aek=")</f>
        <v>#REF!</v>
      </c>
      <c r="IA51" t="e">
        <f>AND(#REF!,"AAAAAFU1aeo=")</f>
        <v>#REF!</v>
      </c>
      <c r="IB51" t="e">
        <f>AND(#REF!,"AAAAAFU1aes=")</f>
        <v>#REF!</v>
      </c>
      <c r="IC51" t="e">
        <f>AND(#REF!,"AAAAAFU1aew=")</f>
        <v>#REF!</v>
      </c>
      <c r="ID51" t="e">
        <f>AND(#REF!,"AAAAAFU1ae0=")</f>
        <v>#REF!</v>
      </c>
      <c r="IE51" t="e">
        <f>AND(#REF!,"AAAAAFU1ae4=")</f>
        <v>#REF!</v>
      </c>
      <c r="IF51" t="e">
        <f>AND(#REF!,"AAAAAFU1ae8=")</f>
        <v>#REF!</v>
      </c>
      <c r="IG51" t="e">
        <f>AND(#REF!,"AAAAAFU1afA=")</f>
        <v>#REF!</v>
      </c>
      <c r="IH51" t="e">
        <f>AND(#REF!,"AAAAAFU1afE=")</f>
        <v>#REF!</v>
      </c>
      <c r="II51" t="e">
        <f>AND(#REF!,"AAAAAFU1afI=")</f>
        <v>#REF!</v>
      </c>
      <c r="IJ51" t="e">
        <f>AND(#REF!,"AAAAAFU1afM=")</f>
        <v>#REF!</v>
      </c>
      <c r="IK51" t="e">
        <f>AND(#REF!,"AAAAAFU1afQ=")</f>
        <v>#REF!</v>
      </c>
      <c r="IL51" t="e">
        <f>AND(#REF!,"AAAAAFU1afU=")</f>
        <v>#REF!</v>
      </c>
      <c r="IM51" t="e">
        <f>AND(#REF!,"AAAAAFU1afY=")</f>
        <v>#REF!</v>
      </c>
      <c r="IN51" t="e">
        <f>AND(#REF!,"AAAAAFU1afc=")</f>
        <v>#REF!</v>
      </c>
      <c r="IO51" t="e">
        <f>AND(#REF!,"AAAAAFU1afg=")</f>
        <v>#REF!</v>
      </c>
      <c r="IP51" t="e">
        <f>AND(#REF!,"AAAAAFU1afk=")</f>
        <v>#REF!</v>
      </c>
      <c r="IQ51" t="e">
        <f>AND(#REF!,"AAAAAFU1afo=")</f>
        <v>#REF!</v>
      </c>
      <c r="IR51" t="e">
        <f>AND(#REF!,"AAAAAFU1afs=")</f>
        <v>#REF!</v>
      </c>
      <c r="IS51" t="e">
        <f>AND(#REF!,"AAAAAFU1afw=")</f>
        <v>#REF!</v>
      </c>
      <c r="IT51" t="e">
        <f>AND(#REF!,"AAAAAFU1af0=")</f>
        <v>#REF!</v>
      </c>
      <c r="IU51" t="e">
        <f>AND(#REF!,"AAAAAFU1af4=")</f>
        <v>#REF!</v>
      </c>
      <c r="IV51" t="e">
        <f>AND(#REF!,"AAAAAFU1af8=")</f>
        <v>#REF!</v>
      </c>
    </row>
    <row r="52" spans="1:256" x14ac:dyDescent="0.2">
      <c r="A52" t="e">
        <f>AND(#REF!,"AAAAAH1/VgA=")</f>
        <v>#REF!</v>
      </c>
      <c r="B52" t="e">
        <f>IF(#REF!,"AAAAAH1/VgE=",0)</f>
        <v>#REF!</v>
      </c>
      <c r="C52" t="e">
        <f>AND(#REF!,"AAAAAH1/VgI=")</f>
        <v>#REF!</v>
      </c>
      <c r="D52" t="e">
        <f>AND(#REF!,"AAAAAH1/VgM=")</f>
        <v>#REF!</v>
      </c>
      <c r="E52" t="e">
        <f>AND(#REF!,"AAAAAH1/VgQ=")</f>
        <v>#REF!</v>
      </c>
      <c r="F52" t="e">
        <f>AND(#REF!,"AAAAAH1/VgU=")</f>
        <v>#REF!</v>
      </c>
      <c r="G52" t="e">
        <f>AND(#REF!,"AAAAAH1/VgY=")</f>
        <v>#REF!</v>
      </c>
      <c r="H52" t="e">
        <f>AND(#REF!,"AAAAAH1/Vgc=")</f>
        <v>#REF!</v>
      </c>
      <c r="I52" t="e">
        <f>AND(#REF!,"AAAAAH1/Vgg=")</f>
        <v>#REF!</v>
      </c>
      <c r="J52" t="e">
        <f>AND(#REF!,"AAAAAH1/Vgk=")</f>
        <v>#REF!</v>
      </c>
      <c r="K52" t="e">
        <f>AND(#REF!,"AAAAAH1/Vgo=")</f>
        <v>#REF!</v>
      </c>
      <c r="L52" t="e">
        <f>AND(#REF!,"AAAAAH1/Vgs=")</f>
        <v>#REF!</v>
      </c>
      <c r="M52" t="e">
        <f>AND(#REF!,"AAAAAH1/Vgw=")</f>
        <v>#REF!</v>
      </c>
      <c r="N52" t="e">
        <f>AND(#REF!,"AAAAAH1/Vg0=")</f>
        <v>#REF!</v>
      </c>
      <c r="O52" t="e">
        <f>AND(#REF!,"AAAAAH1/Vg4=")</f>
        <v>#REF!</v>
      </c>
      <c r="P52" t="e">
        <f>AND(#REF!,"AAAAAH1/Vg8=")</f>
        <v>#REF!</v>
      </c>
      <c r="Q52" t="e">
        <f>AND(#REF!,"AAAAAH1/VhA=")</f>
        <v>#REF!</v>
      </c>
      <c r="R52" t="e">
        <f>AND(#REF!,"AAAAAH1/VhE=")</f>
        <v>#REF!</v>
      </c>
      <c r="S52" t="e">
        <f>AND(#REF!,"AAAAAH1/VhI=")</f>
        <v>#REF!</v>
      </c>
      <c r="T52" t="e">
        <f>AND(#REF!,"AAAAAH1/VhM=")</f>
        <v>#REF!</v>
      </c>
      <c r="U52" t="e">
        <f>AND(#REF!,"AAAAAH1/VhQ=")</f>
        <v>#REF!</v>
      </c>
      <c r="V52" t="e">
        <f>AND(#REF!,"AAAAAH1/VhU=")</f>
        <v>#REF!</v>
      </c>
      <c r="W52" t="e">
        <f>AND(#REF!,"AAAAAH1/VhY=")</f>
        <v>#REF!</v>
      </c>
      <c r="X52" t="e">
        <f>AND(#REF!,"AAAAAH1/Vhc=")</f>
        <v>#REF!</v>
      </c>
      <c r="Y52" t="e">
        <f>AND(#REF!,"AAAAAH1/Vhg=")</f>
        <v>#REF!</v>
      </c>
      <c r="Z52" t="e">
        <f>AND(#REF!,"AAAAAH1/Vhk=")</f>
        <v>#REF!</v>
      </c>
      <c r="AA52" t="e">
        <f>AND(#REF!,"AAAAAH1/Vho=")</f>
        <v>#REF!</v>
      </c>
      <c r="AB52" t="e">
        <f>AND(#REF!,"AAAAAH1/Vhs=")</f>
        <v>#REF!</v>
      </c>
      <c r="AC52" t="e">
        <f>AND(#REF!,"AAAAAH1/Vhw=")</f>
        <v>#REF!</v>
      </c>
      <c r="AD52" t="e">
        <f>AND(#REF!,"AAAAAH1/Vh0=")</f>
        <v>#REF!</v>
      </c>
      <c r="AE52" t="e">
        <f>AND(#REF!,"AAAAAH1/Vh4=")</f>
        <v>#REF!</v>
      </c>
      <c r="AF52" t="e">
        <f>AND(#REF!,"AAAAAH1/Vh8=")</f>
        <v>#REF!</v>
      </c>
      <c r="AG52" t="e">
        <f>AND(#REF!,"AAAAAH1/ViA=")</f>
        <v>#REF!</v>
      </c>
      <c r="AH52" t="e">
        <f>AND(#REF!,"AAAAAH1/ViE=")</f>
        <v>#REF!</v>
      </c>
      <c r="AI52" t="e">
        <f>AND(#REF!,"AAAAAH1/ViI=")</f>
        <v>#REF!</v>
      </c>
      <c r="AJ52" t="e">
        <f>AND(#REF!,"AAAAAH1/ViM=")</f>
        <v>#REF!</v>
      </c>
      <c r="AK52" t="e">
        <f>AND(#REF!,"AAAAAH1/ViQ=")</f>
        <v>#REF!</v>
      </c>
      <c r="AL52" t="e">
        <f>AND(#REF!,"AAAAAH1/ViU=")</f>
        <v>#REF!</v>
      </c>
      <c r="AM52" t="e">
        <f>AND(#REF!,"AAAAAH1/ViY=")</f>
        <v>#REF!</v>
      </c>
      <c r="AN52" t="e">
        <f>AND(#REF!,"AAAAAH1/Vic=")</f>
        <v>#REF!</v>
      </c>
      <c r="AO52" t="e">
        <f>AND(#REF!,"AAAAAH1/Vig=")</f>
        <v>#REF!</v>
      </c>
      <c r="AP52" t="e">
        <f>AND(#REF!,"AAAAAH1/Vik=")</f>
        <v>#REF!</v>
      </c>
      <c r="AQ52" t="e">
        <f>AND(#REF!,"AAAAAH1/Vio=")</f>
        <v>#REF!</v>
      </c>
      <c r="AR52" t="e">
        <f>AND(#REF!,"AAAAAH1/Vis=")</f>
        <v>#REF!</v>
      </c>
      <c r="AS52" t="e">
        <f>AND(#REF!,"AAAAAH1/Viw=")</f>
        <v>#REF!</v>
      </c>
      <c r="AT52" t="e">
        <f>AND(#REF!,"AAAAAH1/Vi0=")</f>
        <v>#REF!</v>
      </c>
      <c r="AU52" t="e">
        <f>AND(#REF!,"AAAAAH1/Vi4=")</f>
        <v>#REF!</v>
      </c>
      <c r="AV52" t="e">
        <f>AND(#REF!,"AAAAAH1/Vi8=")</f>
        <v>#REF!</v>
      </c>
      <c r="AW52" t="e">
        <f>AND(#REF!,"AAAAAH1/VjA=")</f>
        <v>#REF!</v>
      </c>
      <c r="AX52" t="e">
        <f>AND(#REF!,"AAAAAH1/VjE=")</f>
        <v>#REF!</v>
      </c>
      <c r="AY52" t="e">
        <f>AND(#REF!,"AAAAAH1/VjI=")</f>
        <v>#REF!</v>
      </c>
      <c r="AZ52" t="e">
        <f>AND(#REF!,"AAAAAH1/VjM=")</f>
        <v>#REF!</v>
      </c>
      <c r="BA52" t="e">
        <f>AND(#REF!,"AAAAAH1/VjQ=")</f>
        <v>#REF!</v>
      </c>
      <c r="BB52" t="e">
        <f>AND(#REF!,"AAAAAH1/VjU=")</f>
        <v>#REF!</v>
      </c>
      <c r="BC52" t="e">
        <f>AND(#REF!,"AAAAAH1/VjY=")</f>
        <v>#REF!</v>
      </c>
      <c r="BD52" t="e">
        <f>AND(#REF!,"AAAAAH1/Vjc=")</f>
        <v>#REF!</v>
      </c>
      <c r="BE52" t="e">
        <f>AND(#REF!,"AAAAAH1/Vjg=")</f>
        <v>#REF!</v>
      </c>
      <c r="BF52" t="e">
        <f>AND(#REF!,"AAAAAH1/Vjk=")</f>
        <v>#REF!</v>
      </c>
      <c r="BG52" t="e">
        <f>AND(#REF!,"AAAAAH1/Vjo=")</f>
        <v>#REF!</v>
      </c>
      <c r="BH52" t="e">
        <f>AND(#REF!,"AAAAAH1/Vjs=")</f>
        <v>#REF!</v>
      </c>
      <c r="BI52" t="e">
        <f>AND(#REF!,"AAAAAH1/Vjw=")</f>
        <v>#REF!</v>
      </c>
      <c r="BJ52" t="e">
        <f>AND(#REF!,"AAAAAH1/Vj0=")</f>
        <v>#REF!</v>
      </c>
      <c r="BK52" t="e">
        <f>AND(#REF!,"AAAAAH1/Vj4=")</f>
        <v>#REF!</v>
      </c>
      <c r="BL52" t="e">
        <f>AND(#REF!,"AAAAAH1/Vj8=")</f>
        <v>#REF!</v>
      </c>
      <c r="BM52" t="e">
        <f>AND(#REF!,"AAAAAH1/VkA=")</f>
        <v>#REF!</v>
      </c>
      <c r="BN52" t="e">
        <f>AND(#REF!,"AAAAAH1/VkE=")</f>
        <v>#REF!</v>
      </c>
      <c r="BO52" t="e">
        <f>AND(#REF!,"AAAAAH1/VkI=")</f>
        <v>#REF!</v>
      </c>
      <c r="BP52" t="e">
        <f>AND(#REF!,"AAAAAH1/VkM=")</f>
        <v>#REF!</v>
      </c>
      <c r="BQ52" t="e">
        <f>AND(#REF!,"AAAAAH1/VkQ=")</f>
        <v>#REF!</v>
      </c>
      <c r="BR52" t="e">
        <f>AND(#REF!,"AAAAAH1/VkU=")</f>
        <v>#REF!</v>
      </c>
      <c r="BS52" t="e">
        <f>AND(#REF!,"AAAAAH1/VkY=")</f>
        <v>#REF!</v>
      </c>
      <c r="BT52" t="e">
        <f>AND(#REF!,"AAAAAH1/Vkc=")</f>
        <v>#REF!</v>
      </c>
      <c r="BU52" t="e">
        <f>AND(#REF!,"AAAAAH1/Vkg=")</f>
        <v>#REF!</v>
      </c>
      <c r="BV52" t="e">
        <f>AND(#REF!,"AAAAAH1/Vkk=")</f>
        <v>#REF!</v>
      </c>
      <c r="BW52" t="e">
        <f>AND(#REF!,"AAAAAH1/Vko=")</f>
        <v>#REF!</v>
      </c>
      <c r="BX52" t="e">
        <f>AND(#REF!,"AAAAAH1/Vks=")</f>
        <v>#REF!</v>
      </c>
      <c r="BY52" t="e">
        <f>IF(#REF!,"AAAAAH1/Vkw=",0)</f>
        <v>#REF!</v>
      </c>
      <c r="BZ52" t="e">
        <f>AND(#REF!,"AAAAAH1/Vk0=")</f>
        <v>#REF!</v>
      </c>
      <c r="CA52" t="e">
        <f>AND(#REF!,"AAAAAH1/Vk4=")</f>
        <v>#REF!</v>
      </c>
      <c r="CB52" t="e">
        <f>AND(#REF!,"AAAAAH1/Vk8=")</f>
        <v>#REF!</v>
      </c>
      <c r="CC52" t="e">
        <f>AND(#REF!,"AAAAAH1/VlA=")</f>
        <v>#REF!</v>
      </c>
      <c r="CD52" t="e">
        <f>AND(#REF!,"AAAAAH1/VlE=")</f>
        <v>#REF!</v>
      </c>
      <c r="CE52" t="e">
        <f>AND(#REF!,"AAAAAH1/VlI=")</f>
        <v>#REF!</v>
      </c>
      <c r="CF52" t="e">
        <f>AND(#REF!,"AAAAAH1/VlM=")</f>
        <v>#REF!</v>
      </c>
      <c r="CG52" t="e">
        <f>AND(#REF!,"AAAAAH1/VlQ=")</f>
        <v>#REF!</v>
      </c>
      <c r="CH52" t="e">
        <f>AND(#REF!,"AAAAAH1/VlU=")</f>
        <v>#REF!</v>
      </c>
      <c r="CI52" t="e">
        <f>AND(#REF!,"AAAAAH1/VlY=")</f>
        <v>#REF!</v>
      </c>
      <c r="CJ52" t="e">
        <f>AND(#REF!,"AAAAAH1/Vlc=")</f>
        <v>#REF!</v>
      </c>
      <c r="CK52" t="e">
        <f>AND(#REF!,"AAAAAH1/Vlg=")</f>
        <v>#REF!</v>
      </c>
      <c r="CL52" t="e">
        <f>AND(#REF!,"AAAAAH1/Vlk=")</f>
        <v>#REF!</v>
      </c>
      <c r="CM52" t="e">
        <f>AND(#REF!,"AAAAAH1/Vlo=")</f>
        <v>#REF!</v>
      </c>
      <c r="CN52" t="e">
        <f>AND(#REF!,"AAAAAH1/Vls=")</f>
        <v>#REF!</v>
      </c>
      <c r="CO52" t="e">
        <f>AND(#REF!,"AAAAAH1/Vlw=")</f>
        <v>#REF!</v>
      </c>
      <c r="CP52" t="e">
        <f>AND(#REF!,"AAAAAH1/Vl0=")</f>
        <v>#REF!</v>
      </c>
      <c r="CQ52" t="e">
        <f>AND(#REF!,"AAAAAH1/Vl4=")</f>
        <v>#REF!</v>
      </c>
      <c r="CR52" t="e">
        <f>AND(#REF!,"AAAAAH1/Vl8=")</f>
        <v>#REF!</v>
      </c>
      <c r="CS52" t="e">
        <f>AND(#REF!,"AAAAAH1/VmA=")</f>
        <v>#REF!</v>
      </c>
      <c r="CT52" t="e">
        <f>AND(#REF!,"AAAAAH1/VmE=")</f>
        <v>#REF!</v>
      </c>
      <c r="CU52" t="e">
        <f>AND(#REF!,"AAAAAH1/VmI=")</f>
        <v>#REF!</v>
      </c>
      <c r="CV52" t="e">
        <f>AND(#REF!,"AAAAAH1/VmM=")</f>
        <v>#REF!</v>
      </c>
      <c r="CW52" t="e">
        <f>AND(#REF!,"AAAAAH1/VmQ=")</f>
        <v>#REF!</v>
      </c>
      <c r="CX52" t="e">
        <f>AND(#REF!,"AAAAAH1/VmU=")</f>
        <v>#REF!</v>
      </c>
      <c r="CY52" t="e">
        <f>AND(#REF!,"AAAAAH1/VmY=")</f>
        <v>#REF!</v>
      </c>
      <c r="CZ52" t="e">
        <f>AND(#REF!,"AAAAAH1/Vmc=")</f>
        <v>#REF!</v>
      </c>
      <c r="DA52" t="e">
        <f>AND(#REF!,"AAAAAH1/Vmg=")</f>
        <v>#REF!</v>
      </c>
      <c r="DB52" t="e">
        <f>AND(#REF!,"AAAAAH1/Vmk=")</f>
        <v>#REF!</v>
      </c>
      <c r="DC52" t="e">
        <f>AND(#REF!,"AAAAAH1/Vmo=")</f>
        <v>#REF!</v>
      </c>
      <c r="DD52" t="e">
        <f>AND(#REF!,"AAAAAH1/Vms=")</f>
        <v>#REF!</v>
      </c>
      <c r="DE52" t="e">
        <f>AND(#REF!,"AAAAAH1/Vmw=")</f>
        <v>#REF!</v>
      </c>
      <c r="DF52" t="e">
        <f>AND(#REF!,"AAAAAH1/Vm0=")</f>
        <v>#REF!</v>
      </c>
      <c r="DG52" t="e">
        <f>AND(#REF!,"AAAAAH1/Vm4=")</f>
        <v>#REF!</v>
      </c>
      <c r="DH52" t="e">
        <f>AND(#REF!,"AAAAAH1/Vm8=")</f>
        <v>#REF!</v>
      </c>
      <c r="DI52" t="e">
        <f>AND(#REF!,"AAAAAH1/VnA=")</f>
        <v>#REF!</v>
      </c>
      <c r="DJ52" t="e">
        <f>AND(#REF!,"AAAAAH1/VnE=")</f>
        <v>#REF!</v>
      </c>
      <c r="DK52" t="e">
        <f>AND(#REF!,"AAAAAH1/VnI=")</f>
        <v>#REF!</v>
      </c>
      <c r="DL52" t="e">
        <f>AND(#REF!,"AAAAAH1/VnM=")</f>
        <v>#REF!</v>
      </c>
      <c r="DM52" t="e">
        <f>AND(#REF!,"AAAAAH1/VnQ=")</f>
        <v>#REF!</v>
      </c>
      <c r="DN52" t="e">
        <f>AND(#REF!,"AAAAAH1/VnU=")</f>
        <v>#REF!</v>
      </c>
      <c r="DO52" t="e">
        <f>AND(#REF!,"AAAAAH1/VnY=")</f>
        <v>#REF!</v>
      </c>
      <c r="DP52" t="e">
        <f>AND(#REF!,"AAAAAH1/Vnc=")</f>
        <v>#REF!</v>
      </c>
      <c r="DQ52" t="e">
        <f>AND(#REF!,"AAAAAH1/Vng=")</f>
        <v>#REF!</v>
      </c>
      <c r="DR52" t="e">
        <f>AND(#REF!,"AAAAAH1/Vnk=")</f>
        <v>#REF!</v>
      </c>
      <c r="DS52" t="e">
        <f>AND(#REF!,"AAAAAH1/Vno=")</f>
        <v>#REF!</v>
      </c>
      <c r="DT52" t="e">
        <f>AND(#REF!,"AAAAAH1/Vns=")</f>
        <v>#REF!</v>
      </c>
      <c r="DU52" t="e">
        <f>AND(#REF!,"AAAAAH1/Vnw=")</f>
        <v>#REF!</v>
      </c>
      <c r="DV52" t="e">
        <f>AND(#REF!,"AAAAAH1/Vn0=")</f>
        <v>#REF!</v>
      </c>
      <c r="DW52" t="e">
        <f>AND(#REF!,"AAAAAH1/Vn4=")</f>
        <v>#REF!</v>
      </c>
      <c r="DX52" t="e">
        <f>AND(#REF!,"AAAAAH1/Vn8=")</f>
        <v>#REF!</v>
      </c>
      <c r="DY52" t="e">
        <f>AND(#REF!,"AAAAAH1/VoA=")</f>
        <v>#REF!</v>
      </c>
      <c r="DZ52" t="e">
        <f>AND(#REF!,"AAAAAH1/VoE=")</f>
        <v>#REF!</v>
      </c>
      <c r="EA52" t="e">
        <f>AND(#REF!,"AAAAAH1/VoI=")</f>
        <v>#REF!</v>
      </c>
      <c r="EB52" t="e">
        <f>AND(#REF!,"AAAAAH1/VoM=")</f>
        <v>#REF!</v>
      </c>
      <c r="EC52" t="e">
        <f>AND(#REF!,"AAAAAH1/VoQ=")</f>
        <v>#REF!</v>
      </c>
      <c r="ED52" t="e">
        <f>AND(#REF!,"AAAAAH1/VoU=")</f>
        <v>#REF!</v>
      </c>
      <c r="EE52" t="e">
        <f>AND(#REF!,"AAAAAH1/VoY=")</f>
        <v>#REF!</v>
      </c>
      <c r="EF52" t="e">
        <f>AND(#REF!,"AAAAAH1/Voc=")</f>
        <v>#REF!</v>
      </c>
      <c r="EG52" t="e">
        <f>AND(#REF!,"AAAAAH1/Vog=")</f>
        <v>#REF!</v>
      </c>
      <c r="EH52" t="e">
        <f>AND(#REF!,"AAAAAH1/Vok=")</f>
        <v>#REF!</v>
      </c>
      <c r="EI52" t="e">
        <f>AND(#REF!,"AAAAAH1/Voo=")</f>
        <v>#REF!</v>
      </c>
      <c r="EJ52" t="e">
        <f>AND(#REF!,"AAAAAH1/Vos=")</f>
        <v>#REF!</v>
      </c>
      <c r="EK52" t="e">
        <f>AND(#REF!,"AAAAAH1/Vow=")</f>
        <v>#REF!</v>
      </c>
      <c r="EL52" t="e">
        <f>AND(#REF!,"AAAAAH1/Vo0=")</f>
        <v>#REF!</v>
      </c>
      <c r="EM52" t="e">
        <f>AND(#REF!,"AAAAAH1/Vo4=")</f>
        <v>#REF!</v>
      </c>
      <c r="EN52" t="e">
        <f>AND(#REF!,"AAAAAH1/Vo8=")</f>
        <v>#REF!</v>
      </c>
      <c r="EO52" t="e">
        <f>AND(#REF!,"AAAAAH1/VpA=")</f>
        <v>#REF!</v>
      </c>
      <c r="EP52" t="e">
        <f>AND(#REF!,"AAAAAH1/VpE=")</f>
        <v>#REF!</v>
      </c>
      <c r="EQ52" t="e">
        <f>AND(#REF!,"AAAAAH1/VpI=")</f>
        <v>#REF!</v>
      </c>
      <c r="ER52" t="e">
        <f>AND(#REF!,"AAAAAH1/VpM=")</f>
        <v>#REF!</v>
      </c>
      <c r="ES52" t="e">
        <f>AND(#REF!,"AAAAAH1/VpQ=")</f>
        <v>#REF!</v>
      </c>
      <c r="ET52" t="e">
        <f>AND(#REF!,"AAAAAH1/VpU=")</f>
        <v>#REF!</v>
      </c>
      <c r="EU52" t="e">
        <f>AND(#REF!,"AAAAAH1/VpY=")</f>
        <v>#REF!</v>
      </c>
      <c r="EV52" t="e">
        <f>IF(#REF!,"AAAAAH1/Vpc=",0)</f>
        <v>#REF!</v>
      </c>
      <c r="EW52" t="e">
        <f>AND(#REF!,"AAAAAH1/Vpg=")</f>
        <v>#REF!</v>
      </c>
      <c r="EX52" t="e">
        <f>AND(#REF!,"AAAAAH1/Vpk=")</f>
        <v>#REF!</v>
      </c>
      <c r="EY52" t="e">
        <f>AND(#REF!,"AAAAAH1/Vpo=")</f>
        <v>#REF!</v>
      </c>
      <c r="EZ52" t="e">
        <f>AND(#REF!,"AAAAAH1/Vps=")</f>
        <v>#REF!</v>
      </c>
      <c r="FA52" t="e">
        <f>AND(#REF!,"AAAAAH1/Vpw=")</f>
        <v>#REF!</v>
      </c>
      <c r="FB52" t="e">
        <f>AND(#REF!,"AAAAAH1/Vp0=")</f>
        <v>#REF!</v>
      </c>
      <c r="FC52" t="e">
        <f>AND(#REF!,"AAAAAH1/Vp4=")</f>
        <v>#REF!</v>
      </c>
      <c r="FD52" t="e">
        <f>AND(#REF!,"AAAAAH1/Vp8=")</f>
        <v>#REF!</v>
      </c>
      <c r="FE52" t="e">
        <f>AND(#REF!,"AAAAAH1/VqA=")</f>
        <v>#REF!</v>
      </c>
      <c r="FF52" t="e">
        <f>AND(#REF!,"AAAAAH1/VqE=")</f>
        <v>#REF!</v>
      </c>
      <c r="FG52" t="e">
        <f>AND(#REF!,"AAAAAH1/VqI=")</f>
        <v>#REF!</v>
      </c>
      <c r="FH52" t="e">
        <f>AND(#REF!,"AAAAAH1/VqM=")</f>
        <v>#REF!</v>
      </c>
      <c r="FI52" t="e">
        <f>AND(#REF!,"AAAAAH1/VqQ=")</f>
        <v>#REF!</v>
      </c>
      <c r="FJ52" t="e">
        <f>AND(#REF!,"AAAAAH1/VqU=")</f>
        <v>#REF!</v>
      </c>
      <c r="FK52" t="e">
        <f>AND(#REF!,"AAAAAH1/VqY=")</f>
        <v>#REF!</v>
      </c>
      <c r="FL52" t="e">
        <f>AND(#REF!,"AAAAAH1/Vqc=")</f>
        <v>#REF!</v>
      </c>
      <c r="FM52" t="e">
        <f>AND(#REF!,"AAAAAH1/Vqg=")</f>
        <v>#REF!</v>
      </c>
      <c r="FN52" t="e">
        <f>AND(#REF!,"AAAAAH1/Vqk=")</f>
        <v>#REF!</v>
      </c>
      <c r="FO52" t="e">
        <f>AND(#REF!,"AAAAAH1/Vqo=")</f>
        <v>#REF!</v>
      </c>
      <c r="FP52" t="e">
        <f>AND(#REF!,"AAAAAH1/Vqs=")</f>
        <v>#REF!</v>
      </c>
      <c r="FQ52" t="e">
        <f>AND(#REF!,"AAAAAH1/Vqw=")</f>
        <v>#REF!</v>
      </c>
      <c r="FR52" t="e">
        <f>AND(#REF!,"AAAAAH1/Vq0=")</f>
        <v>#REF!</v>
      </c>
      <c r="FS52" t="e">
        <f>AND(#REF!,"AAAAAH1/Vq4=")</f>
        <v>#REF!</v>
      </c>
      <c r="FT52" t="e">
        <f>AND(#REF!,"AAAAAH1/Vq8=")</f>
        <v>#REF!</v>
      </c>
      <c r="FU52" t="e">
        <f>AND(#REF!,"AAAAAH1/VrA=")</f>
        <v>#REF!</v>
      </c>
      <c r="FV52" t="e">
        <f>AND(#REF!,"AAAAAH1/VrE=")</f>
        <v>#REF!</v>
      </c>
      <c r="FW52" t="e">
        <f>AND(#REF!,"AAAAAH1/VrI=")</f>
        <v>#REF!</v>
      </c>
      <c r="FX52" t="e">
        <f>AND(#REF!,"AAAAAH1/VrM=")</f>
        <v>#REF!</v>
      </c>
      <c r="FY52" t="e">
        <f>AND(#REF!,"AAAAAH1/VrQ=")</f>
        <v>#REF!</v>
      </c>
      <c r="FZ52" t="e">
        <f>AND(#REF!,"AAAAAH1/VrU=")</f>
        <v>#REF!</v>
      </c>
      <c r="GA52" t="e">
        <f>AND(#REF!,"AAAAAH1/VrY=")</f>
        <v>#REF!</v>
      </c>
      <c r="GB52" t="e">
        <f>AND(#REF!,"AAAAAH1/Vrc=")</f>
        <v>#REF!</v>
      </c>
      <c r="GC52" t="e">
        <f>AND(#REF!,"AAAAAH1/Vrg=")</f>
        <v>#REF!</v>
      </c>
      <c r="GD52" t="e">
        <f>AND(#REF!,"AAAAAH1/Vrk=")</f>
        <v>#REF!</v>
      </c>
      <c r="GE52" t="e">
        <f>AND(#REF!,"AAAAAH1/Vro=")</f>
        <v>#REF!</v>
      </c>
      <c r="GF52" t="e">
        <f>AND(#REF!,"AAAAAH1/Vrs=")</f>
        <v>#REF!</v>
      </c>
      <c r="GG52" t="e">
        <f>AND(#REF!,"AAAAAH1/Vrw=")</f>
        <v>#REF!</v>
      </c>
      <c r="GH52" t="e">
        <f>AND(#REF!,"AAAAAH1/Vr0=")</f>
        <v>#REF!</v>
      </c>
      <c r="GI52" t="e">
        <f>AND(#REF!,"AAAAAH1/Vr4=")</f>
        <v>#REF!</v>
      </c>
      <c r="GJ52" t="e">
        <f>AND(#REF!,"AAAAAH1/Vr8=")</f>
        <v>#REF!</v>
      </c>
      <c r="GK52" t="e">
        <f>AND(#REF!,"AAAAAH1/VsA=")</f>
        <v>#REF!</v>
      </c>
      <c r="GL52" t="e">
        <f>AND(#REF!,"AAAAAH1/VsE=")</f>
        <v>#REF!</v>
      </c>
      <c r="GM52" t="e">
        <f>AND(#REF!,"AAAAAH1/VsI=")</f>
        <v>#REF!</v>
      </c>
      <c r="GN52" t="e">
        <f>AND(#REF!,"AAAAAH1/VsM=")</f>
        <v>#REF!</v>
      </c>
      <c r="GO52" t="e">
        <f>AND(#REF!,"AAAAAH1/VsQ=")</f>
        <v>#REF!</v>
      </c>
      <c r="GP52" t="e">
        <f>AND(#REF!,"AAAAAH1/VsU=")</f>
        <v>#REF!</v>
      </c>
      <c r="GQ52" t="e">
        <f>AND(#REF!,"AAAAAH1/VsY=")</f>
        <v>#REF!</v>
      </c>
      <c r="GR52" t="e">
        <f>AND(#REF!,"AAAAAH1/Vsc=")</f>
        <v>#REF!</v>
      </c>
      <c r="GS52" t="e">
        <f>AND(#REF!,"AAAAAH1/Vsg=")</f>
        <v>#REF!</v>
      </c>
      <c r="GT52" t="e">
        <f>AND(#REF!,"AAAAAH1/Vsk=")</f>
        <v>#REF!</v>
      </c>
      <c r="GU52" t="e">
        <f>AND(#REF!,"AAAAAH1/Vso=")</f>
        <v>#REF!</v>
      </c>
      <c r="GV52" t="e">
        <f>AND(#REF!,"AAAAAH1/Vss=")</f>
        <v>#REF!</v>
      </c>
      <c r="GW52" t="e">
        <f>AND(#REF!,"AAAAAH1/Vsw=")</f>
        <v>#REF!</v>
      </c>
      <c r="GX52" t="e">
        <f>AND(#REF!,"AAAAAH1/Vs0=")</f>
        <v>#REF!</v>
      </c>
      <c r="GY52" t="e">
        <f>AND(#REF!,"AAAAAH1/Vs4=")</f>
        <v>#REF!</v>
      </c>
      <c r="GZ52" t="e">
        <f>AND(#REF!,"AAAAAH1/Vs8=")</f>
        <v>#REF!</v>
      </c>
      <c r="HA52" t="e">
        <f>AND(#REF!,"AAAAAH1/VtA=")</f>
        <v>#REF!</v>
      </c>
      <c r="HB52" t="e">
        <f>AND(#REF!,"AAAAAH1/VtE=")</f>
        <v>#REF!</v>
      </c>
      <c r="HC52" t="e">
        <f>AND(#REF!,"AAAAAH1/VtI=")</f>
        <v>#REF!</v>
      </c>
      <c r="HD52" t="e">
        <f>AND(#REF!,"AAAAAH1/VtM=")</f>
        <v>#REF!</v>
      </c>
      <c r="HE52" t="e">
        <f>AND(#REF!,"AAAAAH1/VtQ=")</f>
        <v>#REF!</v>
      </c>
      <c r="HF52" t="e">
        <f>AND(#REF!,"AAAAAH1/VtU=")</f>
        <v>#REF!</v>
      </c>
      <c r="HG52" t="e">
        <f>AND(#REF!,"AAAAAH1/VtY=")</f>
        <v>#REF!</v>
      </c>
      <c r="HH52" t="e">
        <f>AND(#REF!,"AAAAAH1/Vtc=")</f>
        <v>#REF!</v>
      </c>
      <c r="HI52" t="e">
        <f>AND(#REF!,"AAAAAH1/Vtg=")</f>
        <v>#REF!</v>
      </c>
      <c r="HJ52" t="e">
        <f>AND(#REF!,"AAAAAH1/Vtk=")</f>
        <v>#REF!</v>
      </c>
      <c r="HK52" t="e">
        <f>AND(#REF!,"AAAAAH1/Vto=")</f>
        <v>#REF!</v>
      </c>
      <c r="HL52" t="e">
        <f>AND(#REF!,"AAAAAH1/Vts=")</f>
        <v>#REF!</v>
      </c>
      <c r="HM52" t="e">
        <f>AND(#REF!,"AAAAAH1/Vtw=")</f>
        <v>#REF!</v>
      </c>
      <c r="HN52" t="e">
        <f>AND(#REF!,"AAAAAH1/Vt0=")</f>
        <v>#REF!</v>
      </c>
      <c r="HO52" t="e">
        <f>AND(#REF!,"AAAAAH1/Vt4=")</f>
        <v>#REF!</v>
      </c>
      <c r="HP52" t="e">
        <f>AND(#REF!,"AAAAAH1/Vt8=")</f>
        <v>#REF!</v>
      </c>
      <c r="HQ52" t="e">
        <f>AND(#REF!,"AAAAAH1/VuA=")</f>
        <v>#REF!</v>
      </c>
      <c r="HR52" t="e">
        <f>AND(#REF!,"AAAAAH1/VuE=")</f>
        <v>#REF!</v>
      </c>
      <c r="HS52" t="e">
        <f>IF(#REF!,"AAAAAH1/VuI=",0)</f>
        <v>#REF!</v>
      </c>
      <c r="HT52" t="e">
        <f>AND(#REF!,"AAAAAH1/VuM=")</f>
        <v>#REF!</v>
      </c>
      <c r="HU52" t="e">
        <f>AND(#REF!,"AAAAAH1/VuQ=")</f>
        <v>#REF!</v>
      </c>
      <c r="HV52" t="e">
        <f>AND(#REF!,"AAAAAH1/VuU=")</f>
        <v>#REF!</v>
      </c>
      <c r="HW52" t="e">
        <f>AND(#REF!,"AAAAAH1/VuY=")</f>
        <v>#REF!</v>
      </c>
      <c r="HX52" t="e">
        <f>AND(#REF!,"AAAAAH1/Vuc=")</f>
        <v>#REF!</v>
      </c>
      <c r="HY52" t="e">
        <f>AND(#REF!,"AAAAAH1/Vug=")</f>
        <v>#REF!</v>
      </c>
      <c r="HZ52" t="e">
        <f>AND(#REF!,"AAAAAH1/Vuk=")</f>
        <v>#REF!</v>
      </c>
      <c r="IA52" t="e">
        <f>AND(#REF!,"AAAAAH1/Vuo=")</f>
        <v>#REF!</v>
      </c>
      <c r="IB52" t="e">
        <f>AND(#REF!,"AAAAAH1/Vus=")</f>
        <v>#REF!</v>
      </c>
      <c r="IC52" t="e">
        <f>AND(#REF!,"AAAAAH1/Vuw=")</f>
        <v>#REF!</v>
      </c>
      <c r="ID52" t="e">
        <f>AND(#REF!,"AAAAAH1/Vu0=")</f>
        <v>#REF!</v>
      </c>
      <c r="IE52" t="e">
        <f>AND(#REF!,"AAAAAH1/Vu4=")</f>
        <v>#REF!</v>
      </c>
      <c r="IF52" t="e">
        <f>AND(#REF!,"AAAAAH1/Vu8=")</f>
        <v>#REF!</v>
      </c>
      <c r="IG52" t="e">
        <f>AND(#REF!,"AAAAAH1/VvA=")</f>
        <v>#REF!</v>
      </c>
      <c r="IH52" t="e">
        <f>AND(#REF!,"AAAAAH1/VvE=")</f>
        <v>#REF!</v>
      </c>
      <c r="II52" t="e">
        <f>AND(#REF!,"AAAAAH1/VvI=")</f>
        <v>#REF!</v>
      </c>
      <c r="IJ52" t="e">
        <f>AND(#REF!,"AAAAAH1/VvM=")</f>
        <v>#REF!</v>
      </c>
      <c r="IK52" t="e">
        <f>AND(#REF!,"AAAAAH1/VvQ=")</f>
        <v>#REF!</v>
      </c>
      <c r="IL52" t="e">
        <f>AND(#REF!,"AAAAAH1/VvU=")</f>
        <v>#REF!</v>
      </c>
      <c r="IM52" t="e">
        <f>AND(#REF!,"AAAAAH1/VvY=")</f>
        <v>#REF!</v>
      </c>
      <c r="IN52" t="e">
        <f>AND(#REF!,"AAAAAH1/Vvc=")</f>
        <v>#REF!</v>
      </c>
      <c r="IO52" t="e">
        <f>AND(#REF!,"AAAAAH1/Vvg=")</f>
        <v>#REF!</v>
      </c>
      <c r="IP52" t="e">
        <f>AND(#REF!,"AAAAAH1/Vvk=")</f>
        <v>#REF!</v>
      </c>
      <c r="IQ52" t="e">
        <f>AND(#REF!,"AAAAAH1/Vvo=")</f>
        <v>#REF!</v>
      </c>
      <c r="IR52" t="e">
        <f>AND(#REF!,"AAAAAH1/Vvs=")</f>
        <v>#REF!</v>
      </c>
      <c r="IS52" t="e">
        <f>AND(#REF!,"AAAAAH1/Vvw=")</f>
        <v>#REF!</v>
      </c>
      <c r="IT52" t="e">
        <f>AND(#REF!,"AAAAAH1/Vv0=")</f>
        <v>#REF!</v>
      </c>
      <c r="IU52" t="e">
        <f>AND(#REF!,"AAAAAH1/Vv4=")</f>
        <v>#REF!</v>
      </c>
      <c r="IV52" t="e">
        <f>AND(#REF!,"AAAAAH1/Vv8=")</f>
        <v>#REF!</v>
      </c>
    </row>
    <row r="53" spans="1:256" x14ac:dyDescent="0.2">
      <c r="A53" t="e">
        <f>AND(#REF!,"AAAAAC/++AA=")</f>
        <v>#REF!</v>
      </c>
      <c r="B53" t="e">
        <f>AND(#REF!,"AAAAAC/++AE=")</f>
        <v>#REF!</v>
      </c>
      <c r="C53" t="e">
        <f>AND(#REF!,"AAAAAC/++AI=")</f>
        <v>#REF!</v>
      </c>
      <c r="D53" t="e">
        <f>AND(#REF!,"AAAAAC/++AM=")</f>
        <v>#REF!</v>
      </c>
      <c r="E53" t="e">
        <f>AND(#REF!,"AAAAAC/++AQ=")</f>
        <v>#REF!</v>
      </c>
      <c r="F53" t="e">
        <f>AND(#REF!,"AAAAAC/++AU=")</f>
        <v>#REF!</v>
      </c>
      <c r="G53" t="e">
        <f>AND(#REF!,"AAAAAC/++AY=")</f>
        <v>#REF!</v>
      </c>
      <c r="H53" t="e">
        <f>AND(#REF!,"AAAAAC/++Ac=")</f>
        <v>#REF!</v>
      </c>
      <c r="I53" t="e">
        <f>AND(#REF!,"AAAAAC/++Ag=")</f>
        <v>#REF!</v>
      </c>
      <c r="J53" t="e">
        <f>AND(#REF!,"AAAAAC/++Ak=")</f>
        <v>#REF!</v>
      </c>
      <c r="K53" t="e">
        <f>AND(#REF!,"AAAAAC/++Ao=")</f>
        <v>#REF!</v>
      </c>
      <c r="L53" t="e">
        <f>AND(#REF!,"AAAAAC/++As=")</f>
        <v>#REF!</v>
      </c>
      <c r="M53" t="e">
        <f>AND(#REF!,"AAAAAC/++Aw=")</f>
        <v>#REF!</v>
      </c>
      <c r="N53" t="e">
        <f>AND(#REF!,"AAAAAC/++A0=")</f>
        <v>#REF!</v>
      </c>
      <c r="O53" t="e">
        <f>AND(#REF!,"AAAAAC/++A4=")</f>
        <v>#REF!</v>
      </c>
      <c r="P53" t="e">
        <f>AND(#REF!,"AAAAAC/++A8=")</f>
        <v>#REF!</v>
      </c>
      <c r="Q53" t="e">
        <f>AND(#REF!,"AAAAAC/++BA=")</f>
        <v>#REF!</v>
      </c>
      <c r="R53" t="e">
        <f>AND(#REF!,"AAAAAC/++BE=")</f>
        <v>#REF!</v>
      </c>
      <c r="S53" t="e">
        <f>AND(#REF!,"AAAAAC/++BI=")</f>
        <v>#REF!</v>
      </c>
      <c r="T53" t="e">
        <f>AND(#REF!,"AAAAAC/++BM=")</f>
        <v>#REF!</v>
      </c>
      <c r="U53" t="e">
        <f>AND(#REF!,"AAAAAC/++BQ=")</f>
        <v>#REF!</v>
      </c>
      <c r="V53" t="e">
        <f>AND(#REF!,"AAAAAC/++BU=")</f>
        <v>#REF!</v>
      </c>
      <c r="W53" t="e">
        <f>AND(#REF!,"AAAAAC/++BY=")</f>
        <v>#REF!</v>
      </c>
      <c r="X53" t="e">
        <f>AND(#REF!,"AAAAAC/++Bc=")</f>
        <v>#REF!</v>
      </c>
      <c r="Y53" t="e">
        <f>AND(#REF!,"AAAAAC/++Bg=")</f>
        <v>#REF!</v>
      </c>
      <c r="Z53" t="e">
        <f>AND(#REF!,"AAAAAC/++Bk=")</f>
        <v>#REF!</v>
      </c>
      <c r="AA53" t="e">
        <f>AND(#REF!,"AAAAAC/++Bo=")</f>
        <v>#REF!</v>
      </c>
      <c r="AB53" t="e">
        <f>AND(#REF!,"AAAAAC/++Bs=")</f>
        <v>#REF!</v>
      </c>
      <c r="AC53" t="e">
        <f>AND(#REF!,"AAAAAC/++Bw=")</f>
        <v>#REF!</v>
      </c>
      <c r="AD53" t="e">
        <f>AND(#REF!,"AAAAAC/++B0=")</f>
        <v>#REF!</v>
      </c>
      <c r="AE53" t="e">
        <f>AND(#REF!,"AAAAAC/++B4=")</f>
        <v>#REF!</v>
      </c>
      <c r="AF53" t="e">
        <f>AND(#REF!,"AAAAAC/++B8=")</f>
        <v>#REF!</v>
      </c>
      <c r="AG53" t="e">
        <f>AND(#REF!,"AAAAAC/++CA=")</f>
        <v>#REF!</v>
      </c>
      <c r="AH53" t="e">
        <f>AND(#REF!,"AAAAAC/++CE=")</f>
        <v>#REF!</v>
      </c>
      <c r="AI53" t="e">
        <f>AND(#REF!,"AAAAAC/++CI=")</f>
        <v>#REF!</v>
      </c>
      <c r="AJ53" t="e">
        <f>AND(#REF!,"AAAAAC/++CM=")</f>
        <v>#REF!</v>
      </c>
      <c r="AK53" t="e">
        <f>AND(#REF!,"AAAAAC/++CQ=")</f>
        <v>#REF!</v>
      </c>
      <c r="AL53" t="e">
        <f>AND(#REF!,"AAAAAC/++CU=")</f>
        <v>#REF!</v>
      </c>
      <c r="AM53" t="e">
        <f>AND(#REF!,"AAAAAC/++CY=")</f>
        <v>#REF!</v>
      </c>
      <c r="AN53" t="e">
        <f>AND(#REF!,"AAAAAC/++Cc=")</f>
        <v>#REF!</v>
      </c>
      <c r="AO53" t="e">
        <f>AND(#REF!,"AAAAAC/++Cg=")</f>
        <v>#REF!</v>
      </c>
      <c r="AP53" t="e">
        <f>AND(#REF!,"AAAAAC/++Ck=")</f>
        <v>#REF!</v>
      </c>
      <c r="AQ53" t="e">
        <f>AND(#REF!,"AAAAAC/++Co=")</f>
        <v>#REF!</v>
      </c>
      <c r="AR53" t="e">
        <f>AND(#REF!,"AAAAAC/++Cs=")</f>
        <v>#REF!</v>
      </c>
      <c r="AS53" t="e">
        <f>AND(#REF!,"AAAAAC/++Cw=")</f>
        <v>#REF!</v>
      </c>
      <c r="AT53" t="e">
        <f>IF(#REF!,"AAAAAC/++C0=",0)</f>
        <v>#REF!</v>
      </c>
      <c r="AU53" t="e">
        <f>AND(#REF!,"AAAAAC/++C4=")</f>
        <v>#REF!</v>
      </c>
      <c r="AV53" t="e">
        <f>AND(#REF!,"AAAAAC/++C8=")</f>
        <v>#REF!</v>
      </c>
      <c r="AW53" t="e">
        <f>AND(#REF!,"AAAAAC/++DA=")</f>
        <v>#REF!</v>
      </c>
      <c r="AX53" t="e">
        <f>AND(#REF!,"AAAAAC/++DE=")</f>
        <v>#REF!</v>
      </c>
      <c r="AY53" t="e">
        <f>AND(#REF!,"AAAAAC/++DI=")</f>
        <v>#REF!</v>
      </c>
      <c r="AZ53" t="e">
        <f>AND(#REF!,"AAAAAC/++DM=")</f>
        <v>#REF!</v>
      </c>
      <c r="BA53" t="e">
        <f>AND(#REF!,"AAAAAC/++DQ=")</f>
        <v>#REF!</v>
      </c>
      <c r="BB53" t="e">
        <f>AND(#REF!,"AAAAAC/++DU=")</f>
        <v>#REF!</v>
      </c>
      <c r="BC53" t="e">
        <f>AND(#REF!,"AAAAAC/++DY=")</f>
        <v>#REF!</v>
      </c>
      <c r="BD53" t="e">
        <f>AND(#REF!,"AAAAAC/++Dc=")</f>
        <v>#REF!</v>
      </c>
      <c r="BE53" t="e">
        <f>AND(#REF!,"AAAAAC/++Dg=")</f>
        <v>#REF!</v>
      </c>
      <c r="BF53" t="e">
        <f>AND(#REF!,"AAAAAC/++Dk=")</f>
        <v>#REF!</v>
      </c>
      <c r="BG53" t="e">
        <f>AND(#REF!,"AAAAAC/++Do=")</f>
        <v>#REF!</v>
      </c>
      <c r="BH53" t="e">
        <f>AND(#REF!,"AAAAAC/++Ds=")</f>
        <v>#REF!</v>
      </c>
      <c r="BI53" t="e">
        <f>AND(#REF!,"AAAAAC/++Dw=")</f>
        <v>#REF!</v>
      </c>
      <c r="BJ53" t="e">
        <f>AND(#REF!,"AAAAAC/++D0=")</f>
        <v>#REF!</v>
      </c>
      <c r="BK53" t="e">
        <f>AND(#REF!,"AAAAAC/++D4=")</f>
        <v>#REF!</v>
      </c>
      <c r="BL53" t="e">
        <f>AND(#REF!,"AAAAAC/++D8=")</f>
        <v>#REF!</v>
      </c>
      <c r="BM53" t="e">
        <f>AND(#REF!,"AAAAAC/++EA=")</f>
        <v>#REF!</v>
      </c>
      <c r="BN53" t="e">
        <f>AND(#REF!,"AAAAAC/++EE=")</f>
        <v>#REF!</v>
      </c>
      <c r="BO53" t="e">
        <f>AND(#REF!,"AAAAAC/++EI=")</f>
        <v>#REF!</v>
      </c>
      <c r="BP53" t="e">
        <f>AND(#REF!,"AAAAAC/++EM=")</f>
        <v>#REF!</v>
      </c>
      <c r="BQ53" t="e">
        <f>AND(#REF!,"AAAAAC/++EQ=")</f>
        <v>#REF!</v>
      </c>
      <c r="BR53" t="e">
        <f>AND(#REF!,"AAAAAC/++EU=")</f>
        <v>#REF!</v>
      </c>
      <c r="BS53" t="e">
        <f>AND(#REF!,"AAAAAC/++EY=")</f>
        <v>#REF!</v>
      </c>
      <c r="BT53" t="e">
        <f>AND(#REF!,"AAAAAC/++Ec=")</f>
        <v>#REF!</v>
      </c>
      <c r="BU53" t="e">
        <f>AND(#REF!,"AAAAAC/++Eg=")</f>
        <v>#REF!</v>
      </c>
      <c r="BV53" t="e">
        <f>AND(#REF!,"AAAAAC/++Ek=")</f>
        <v>#REF!</v>
      </c>
      <c r="BW53" t="e">
        <f>AND(#REF!,"AAAAAC/++Eo=")</f>
        <v>#REF!</v>
      </c>
      <c r="BX53" t="e">
        <f>AND(#REF!,"AAAAAC/++Es=")</f>
        <v>#REF!</v>
      </c>
      <c r="BY53" t="e">
        <f>AND(#REF!,"AAAAAC/++Ew=")</f>
        <v>#REF!</v>
      </c>
      <c r="BZ53" t="e">
        <f>AND(#REF!,"AAAAAC/++E0=")</f>
        <v>#REF!</v>
      </c>
      <c r="CA53" t="e">
        <f>AND(#REF!,"AAAAAC/++E4=")</f>
        <v>#REF!</v>
      </c>
      <c r="CB53" t="e">
        <f>AND(#REF!,"AAAAAC/++E8=")</f>
        <v>#REF!</v>
      </c>
      <c r="CC53" t="e">
        <f>AND(#REF!,"AAAAAC/++FA=")</f>
        <v>#REF!</v>
      </c>
      <c r="CD53" t="e">
        <f>AND(#REF!,"AAAAAC/++FE=")</f>
        <v>#REF!</v>
      </c>
      <c r="CE53" t="e">
        <f>AND(#REF!,"AAAAAC/++FI=")</f>
        <v>#REF!</v>
      </c>
      <c r="CF53" t="e">
        <f>AND(#REF!,"AAAAAC/++FM=")</f>
        <v>#REF!</v>
      </c>
      <c r="CG53" t="e">
        <f>AND(#REF!,"AAAAAC/++FQ=")</f>
        <v>#REF!</v>
      </c>
      <c r="CH53" t="e">
        <f>AND(#REF!,"AAAAAC/++FU=")</f>
        <v>#REF!</v>
      </c>
      <c r="CI53" t="e">
        <f>AND(#REF!,"AAAAAC/++FY=")</f>
        <v>#REF!</v>
      </c>
      <c r="CJ53" t="e">
        <f>AND(#REF!,"AAAAAC/++Fc=")</f>
        <v>#REF!</v>
      </c>
      <c r="CK53" t="e">
        <f>AND(#REF!,"AAAAAC/++Fg=")</f>
        <v>#REF!</v>
      </c>
      <c r="CL53" t="e">
        <f>AND(#REF!,"AAAAAC/++Fk=")</f>
        <v>#REF!</v>
      </c>
      <c r="CM53" t="e">
        <f>AND(#REF!,"AAAAAC/++Fo=")</f>
        <v>#REF!</v>
      </c>
      <c r="CN53" t="e">
        <f>AND(#REF!,"AAAAAC/++Fs=")</f>
        <v>#REF!</v>
      </c>
      <c r="CO53" t="e">
        <f>AND(#REF!,"AAAAAC/++Fw=")</f>
        <v>#REF!</v>
      </c>
      <c r="CP53" t="e">
        <f>AND(#REF!,"AAAAAC/++F0=")</f>
        <v>#REF!</v>
      </c>
      <c r="CQ53" t="e">
        <f>AND(#REF!,"AAAAAC/++F4=")</f>
        <v>#REF!</v>
      </c>
      <c r="CR53" t="e">
        <f>AND(#REF!,"AAAAAC/++F8=")</f>
        <v>#REF!</v>
      </c>
      <c r="CS53" t="e">
        <f>AND(#REF!,"AAAAAC/++GA=")</f>
        <v>#REF!</v>
      </c>
      <c r="CT53" t="e">
        <f>AND(#REF!,"AAAAAC/++GE=")</f>
        <v>#REF!</v>
      </c>
      <c r="CU53" t="e">
        <f>AND(#REF!,"AAAAAC/++GI=")</f>
        <v>#REF!</v>
      </c>
      <c r="CV53" t="e">
        <f>AND(#REF!,"AAAAAC/++GM=")</f>
        <v>#REF!</v>
      </c>
      <c r="CW53" t="e">
        <f>AND(#REF!,"AAAAAC/++GQ=")</f>
        <v>#REF!</v>
      </c>
      <c r="CX53" t="e">
        <f>AND(#REF!,"AAAAAC/++GU=")</f>
        <v>#REF!</v>
      </c>
      <c r="CY53" t="e">
        <f>AND(#REF!,"AAAAAC/++GY=")</f>
        <v>#REF!</v>
      </c>
      <c r="CZ53" t="e">
        <f>AND(#REF!,"AAAAAC/++Gc=")</f>
        <v>#REF!</v>
      </c>
      <c r="DA53" t="e">
        <f>AND(#REF!,"AAAAAC/++Gg=")</f>
        <v>#REF!</v>
      </c>
      <c r="DB53" t="e">
        <f>AND(#REF!,"AAAAAC/++Gk=")</f>
        <v>#REF!</v>
      </c>
      <c r="DC53" t="e">
        <f>AND(#REF!,"AAAAAC/++Go=")</f>
        <v>#REF!</v>
      </c>
      <c r="DD53" t="e">
        <f>AND(#REF!,"AAAAAC/++Gs=")</f>
        <v>#REF!</v>
      </c>
      <c r="DE53" t="e">
        <f>AND(#REF!,"AAAAAC/++Gw=")</f>
        <v>#REF!</v>
      </c>
      <c r="DF53" t="e">
        <f>AND(#REF!,"AAAAAC/++G0=")</f>
        <v>#REF!</v>
      </c>
      <c r="DG53" t="e">
        <f>AND(#REF!,"AAAAAC/++G4=")</f>
        <v>#REF!</v>
      </c>
      <c r="DH53" t="e">
        <f>AND(#REF!,"AAAAAC/++G8=")</f>
        <v>#REF!</v>
      </c>
      <c r="DI53" t="e">
        <f>AND(#REF!,"AAAAAC/++HA=")</f>
        <v>#REF!</v>
      </c>
      <c r="DJ53" t="e">
        <f>AND(#REF!,"AAAAAC/++HE=")</f>
        <v>#REF!</v>
      </c>
      <c r="DK53" t="e">
        <f>AND(#REF!,"AAAAAC/++HI=")</f>
        <v>#REF!</v>
      </c>
      <c r="DL53" t="e">
        <f>AND(#REF!,"AAAAAC/++HM=")</f>
        <v>#REF!</v>
      </c>
      <c r="DM53" t="e">
        <f>AND(#REF!,"AAAAAC/++HQ=")</f>
        <v>#REF!</v>
      </c>
      <c r="DN53" t="e">
        <f>AND(#REF!,"AAAAAC/++HU=")</f>
        <v>#REF!</v>
      </c>
      <c r="DO53" t="e">
        <f>AND(#REF!,"AAAAAC/++HY=")</f>
        <v>#REF!</v>
      </c>
      <c r="DP53" t="e">
        <f>AND(#REF!,"AAAAAC/++Hc=")</f>
        <v>#REF!</v>
      </c>
      <c r="DQ53" t="e">
        <f>IF(#REF!,"AAAAAC/++Hg=",0)</f>
        <v>#REF!</v>
      </c>
      <c r="DR53" t="e">
        <f>AND(#REF!,"AAAAAC/++Hk=")</f>
        <v>#REF!</v>
      </c>
      <c r="DS53" t="e">
        <f>AND(#REF!,"AAAAAC/++Ho=")</f>
        <v>#REF!</v>
      </c>
      <c r="DT53" t="e">
        <f>AND(#REF!,"AAAAAC/++Hs=")</f>
        <v>#REF!</v>
      </c>
      <c r="DU53" t="e">
        <f>AND(#REF!,"AAAAAC/++Hw=")</f>
        <v>#REF!</v>
      </c>
      <c r="DV53" t="e">
        <f>AND(#REF!,"AAAAAC/++H0=")</f>
        <v>#REF!</v>
      </c>
      <c r="DW53" t="e">
        <f>AND(#REF!,"AAAAAC/++H4=")</f>
        <v>#REF!</v>
      </c>
      <c r="DX53" t="e">
        <f>AND(#REF!,"AAAAAC/++H8=")</f>
        <v>#REF!</v>
      </c>
      <c r="DY53" t="e">
        <f>AND(#REF!,"AAAAAC/++IA=")</f>
        <v>#REF!</v>
      </c>
      <c r="DZ53" t="e">
        <f>AND(#REF!,"AAAAAC/++IE=")</f>
        <v>#REF!</v>
      </c>
      <c r="EA53" t="e">
        <f>AND(#REF!,"AAAAAC/++II=")</f>
        <v>#REF!</v>
      </c>
      <c r="EB53" t="e">
        <f>AND(#REF!,"AAAAAC/++IM=")</f>
        <v>#REF!</v>
      </c>
      <c r="EC53" t="e">
        <f>AND(#REF!,"AAAAAC/++IQ=")</f>
        <v>#REF!</v>
      </c>
      <c r="ED53" t="e">
        <f>AND(#REF!,"AAAAAC/++IU=")</f>
        <v>#REF!</v>
      </c>
      <c r="EE53" t="e">
        <f>AND(#REF!,"AAAAAC/++IY=")</f>
        <v>#REF!</v>
      </c>
      <c r="EF53" t="e">
        <f>AND(#REF!,"AAAAAC/++Ic=")</f>
        <v>#REF!</v>
      </c>
      <c r="EG53" t="e">
        <f>AND(#REF!,"AAAAAC/++Ig=")</f>
        <v>#REF!</v>
      </c>
      <c r="EH53" t="e">
        <f>AND(#REF!,"AAAAAC/++Ik=")</f>
        <v>#REF!</v>
      </c>
      <c r="EI53" t="e">
        <f>AND(#REF!,"AAAAAC/++Io=")</f>
        <v>#REF!</v>
      </c>
      <c r="EJ53" t="e">
        <f>AND(#REF!,"AAAAAC/++Is=")</f>
        <v>#REF!</v>
      </c>
      <c r="EK53" t="e">
        <f>AND(#REF!,"AAAAAC/++Iw=")</f>
        <v>#REF!</v>
      </c>
      <c r="EL53" t="e">
        <f>AND(#REF!,"AAAAAC/++I0=")</f>
        <v>#REF!</v>
      </c>
      <c r="EM53" t="e">
        <f>AND(#REF!,"AAAAAC/++I4=")</f>
        <v>#REF!</v>
      </c>
      <c r="EN53" t="e">
        <f>AND(#REF!,"AAAAAC/++I8=")</f>
        <v>#REF!</v>
      </c>
      <c r="EO53" t="e">
        <f>AND(#REF!,"AAAAAC/++JA=")</f>
        <v>#REF!</v>
      </c>
      <c r="EP53" t="e">
        <f>AND(#REF!,"AAAAAC/++JE=")</f>
        <v>#REF!</v>
      </c>
      <c r="EQ53" t="e">
        <f>AND(#REF!,"AAAAAC/++JI=")</f>
        <v>#REF!</v>
      </c>
      <c r="ER53" t="e">
        <f>AND(#REF!,"AAAAAC/++JM=")</f>
        <v>#REF!</v>
      </c>
      <c r="ES53" t="e">
        <f>AND(#REF!,"AAAAAC/++JQ=")</f>
        <v>#REF!</v>
      </c>
      <c r="ET53" t="e">
        <f>AND(#REF!,"AAAAAC/++JU=")</f>
        <v>#REF!</v>
      </c>
      <c r="EU53" t="e">
        <f>AND(#REF!,"AAAAAC/++JY=")</f>
        <v>#REF!</v>
      </c>
      <c r="EV53" t="e">
        <f>AND(#REF!,"AAAAAC/++Jc=")</f>
        <v>#REF!</v>
      </c>
      <c r="EW53" t="e">
        <f>AND(#REF!,"AAAAAC/++Jg=")</f>
        <v>#REF!</v>
      </c>
      <c r="EX53" t="e">
        <f>AND(#REF!,"AAAAAC/++Jk=")</f>
        <v>#REF!</v>
      </c>
      <c r="EY53" t="e">
        <f>AND(#REF!,"AAAAAC/++Jo=")</f>
        <v>#REF!</v>
      </c>
      <c r="EZ53" t="e">
        <f>AND(#REF!,"AAAAAC/++Js=")</f>
        <v>#REF!</v>
      </c>
      <c r="FA53" t="e">
        <f>AND(#REF!,"AAAAAC/++Jw=")</f>
        <v>#REF!</v>
      </c>
      <c r="FB53" t="e">
        <f>AND(#REF!,"AAAAAC/++J0=")</f>
        <v>#REF!</v>
      </c>
      <c r="FC53" t="e">
        <f>AND(#REF!,"AAAAAC/++J4=")</f>
        <v>#REF!</v>
      </c>
      <c r="FD53" t="e">
        <f>AND(#REF!,"AAAAAC/++J8=")</f>
        <v>#REF!</v>
      </c>
      <c r="FE53" t="e">
        <f>AND(#REF!,"AAAAAC/++KA=")</f>
        <v>#REF!</v>
      </c>
      <c r="FF53" t="e">
        <f>AND(#REF!,"AAAAAC/++KE=")</f>
        <v>#REF!</v>
      </c>
      <c r="FG53" t="e">
        <f>AND(#REF!,"AAAAAC/++KI=")</f>
        <v>#REF!</v>
      </c>
      <c r="FH53" t="e">
        <f>AND(#REF!,"AAAAAC/++KM=")</f>
        <v>#REF!</v>
      </c>
      <c r="FI53" t="e">
        <f>AND(#REF!,"AAAAAC/++KQ=")</f>
        <v>#REF!</v>
      </c>
      <c r="FJ53" t="e">
        <f>AND(#REF!,"AAAAAC/++KU=")</f>
        <v>#REF!</v>
      </c>
      <c r="FK53" t="e">
        <f>AND(#REF!,"AAAAAC/++KY=")</f>
        <v>#REF!</v>
      </c>
      <c r="FL53" t="e">
        <f>AND(#REF!,"AAAAAC/++Kc=")</f>
        <v>#REF!</v>
      </c>
      <c r="FM53" t="e">
        <f>AND(#REF!,"AAAAAC/++Kg=")</f>
        <v>#REF!</v>
      </c>
      <c r="FN53" t="e">
        <f>AND(#REF!,"AAAAAC/++Kk=")</f>
        <v>#REF!</v>
      </c>
      <c r="FO53" t="e">
        <f>AND(#REF!,"AAAAAC/++Ko=")</f>
        <v>#REF!</v>
      </c>
      <c r="FP53" t="e">
        <f>AND(#REF!,"AAAAAC/++Ks=")</f>
        <v>#REF!</v>
      </c>
      <c r="FQ53" t="e">
        <f>AND(#REF!,"AAAAAC/++Kw=")</f>
        <v>#REF!</v>
      </c>
      <c r="FR53" t="e">
        <f>AND(#REF!,"AAAAAC/++K0=")</f>
        <v>#REF!</v>
      </c>
      <c r="FS53" t="e">
        <f>AND(#REF!,"AAAAAC/++K4=")</f>
        <v>#REF!</v>
      </c>
      <c r="FT53" t="e">
        <f>AND(#REF!,"AAAAAC/++K8=")</f>
        <v>#REF!</v>
      </c>
      <c r="FU53" t="e">
        <f>AND(#REF!,"AAAAAC/++LA=")</f>
        <v>#REF!</v>
      </c>
      <c r="FV53" t="e">
        <f>AND(#REF!,"AAAAAC/++LE=")</f>
        <v>#REF!</v>
      </c>
      <c r="FW53" t="e">
        <f>AND(#REF!,"AAAAAC/++LI=")</f>
        <v>#REF!</v>
      </c>
      <c r="FX53" t="e">
        <f>AND(#REF!,"AAAAAC/++LM=")</f>
        <v>#REF!</v>
      </c>
      <c r="FY53" t="e">
        <f>AND(#REF!,"AAAAAC/++LQ=")</f>
        <v>#REF!</v>
      </c>
      <c r="FZ53" t="e">
        <f>AND(#REF!,"AAAAAC/++LU=")</f>
        <v>#REF!</v>
      </c>
      <c r="GA53" t="e">
        <f>AND(#REF!,"AAAAAC/++LY=")</f>
        <v>#REF!</v>
      </c>
      <c r="GB53" t="e">
        <f>AND(#REF!,"AAAAAC/++Lc=")</f>
        <v>#REF!</v>
      </c>
      <c r="GC53" t="e">
        <f>AND(#REF!,"AAAAAC/++Lg=")</f>
        <v>#REF!</v>
      </c>
      <c r="GD53" t="e">
        <f>AND(#REF!,"AAAAAC/++Lk=")</f>
        <v>#REF!</v>
      </c>
      <c r="GE53" t="e">
        <f>AND(#REF!,"AAAAAC/++Lo=")</f>
        <v>#REF!</v>
      </c>
      <c r="GF53" t="e">
        <f>AND(#REF!,"AAAAAC/++Ls=")</f>
        <v>#REF!</v>
      </c>
      <c r="GG53" t="e">
        <f>AND(#REF!,"AAAAAC/++Lw=")</f>
        <v>#REF!</v>
      </c>
      <c r="GH53" t="e">
        <f>AND(#REF!,"AAAAAC/++L0=")</f>
        <v>#REF!</v>
      </c>
      <c r="GI53" t="e">
        <f>AND(#REF!,"AAAAAC/++L4=")</f>
        <v>#REF!</v>
      </c>
      <c r="GJ53" t="e">
        <f>AND(#REF!,"AAAAAC/++L8=")</f>
        <v>#REF!</v>
      </c>
      <c r="GK53" t="e">
        <f>AND(#REF!,"AAAAAC/++MA=")</f>
        <v>#REF!</v>
      </c>
      <c r="GL53" t="e">
        <f>AND(#REF!,"AAAAAC/++ME=")</f>
        <v>#REF!</v>
      </c>
      <c r="GM53" t="e">
        <f>AND(#REF!,"AAAAAC/++MI=")</f>
        <v>#REF!</v>
      </c>
      <c r="GN53" t="e">
        <f>IF(#REF!,"AAAAAC/++MM=",0)</f>
        <v>#REF!</v>
      </c>
      <c r="GO53" t="e">
        <f>AND(#REF!,"AAAAAC/++MQ=")</f>
        <v>#REF!</v>
      </c>
      <c r="GP53" t="e">
        <f>AND(#REF!,"AAAAAC/++MU=")</f>
        <v>#REF!</v>
      </c>
      <c r="GQ53" t="e">
        <f>AND(#REF!,"AAAAAC/++MY=")</f>
        <v>#REF!</v>
      </c>
      <c r="GR53" t="e">
        <f>AND(#REF!,"AAAAAC/++Mc=")</f>
        <v>#REF!</v>
      </c>
      <c r="GS53" t="e">
        <f>AND(#REF!,"AAAAAC/++Mg=")</f>
        <v>#REF!</v>
      </c>
      <c r="GT53" t="e">
        <f>AND(#REF!,"AAAAAC/++Mk=")</f>
        <v>#REF!</v>
      </c>
      <c r="GU53" t="e">
        <f>AND(#REF!,"AAAAAC/++Mo=")</f>
        <v>#REF!</v>
      </c>
      <c r="GV53" t="e">
        <f>AND(#REF!,"AAAAAC/++Ms=")</f>
        <v>#REF!</v>
      </c>
      <c r="GW53" t="e">
        <f>AND(#REF!,"AAAAAC/++Mw=")</f>
        <v>#REF!</v>
      </c>
      <c r="GX53" t="e">
        <f>AND(#REF!,"AAAAAC/++M0=")</f>
        <v>#REF!</v>
      </c>
      <c r="GY53" t="e">
        <f>AND(#REF!,"AAAAAC/++M4=")</f>
        <v>#REF!</v>
      </c>
      <c r="GZ53" t="e">
        <f>AND(#REF!,"AAAAAC/++M8=")</f>
        <v>#REF!</v>
      </c>
      <c r="HA53" t="e">
        <f>AND(#REF!,"AAAAAC/++NA=")</f>
        <v>#REF!</v>
      </c>
      <c r="HB53" t="e">
        <f>AND(#REF!,"AAAAAC/++NE=")</f>
        <v>#REF!</v>
      </c>
      <c r="HC53" t="e">
        <f>AND(#REF!,"AAAAAC/++NI=")</f>
        <v>#REF!</v>
      </c>
      <c r="HD53" t="e">
        <f>AND(#REF!,"AAAAAC/++NM=")</f>
        <v>#REF!</v>
      </c>
      <c r="HE53" t="e">
        <f>AND(#REF!,"AAAAAC/++NQ=")</f>
        <v>#REF!</v>
      </c>
      <c r="HF53" t="e">
        <f>AND(#REF!,"AAAAAC/++NU=")</f>
        <v>#REF!</v>
      </c>
      <c r="HG53" t="e">
        <f>AND(#REF!,"AAAAAC/++NY=")</f>
        <v>#REF!</v>
      </c>
      <c r="HH53" t="e">
        <f>AND(#REF!,"AAAAAC/++Nc=")</f>
        <v>#REF!</v>
      </c>
      <c r="HI53" t="e">
        <f>AND(#REF!,"AAAAAC/++Ng=")</f>
        <v>#REF!</v>
      </c>
      <c r="HJ53" t="e">
        <f>AND(#REF!,"AAAAAC/++Nk=")</f>
        <v>#REF!</v>
      </c>
      <c r="HK53" t="e">
        <f>AND(#REF!,"AAAAAC/++No=")</f>
        <v>#REF!</v>
      </c>
      <c r="HL53" t="e">
        <f>AND(#REF!,"AAAAAC/++Ns=")</f>
        <v>#REF!</v>
      </c>
      <c r="HM53" t="e">
        <f>AND(#REF!,"AAAAAC/++Nw=")</f>
        <v>#REF!</v>
      </c>
      <c r="HN53" t="e">
        <f>AND(#REF!,"AAAAAC/++N0=")</f>
        <v>#REF!</v>
      </c>
      <c r="HO53" t="e">
        <f>AND(#REF!,"AAAAAC/++N4=")</f>
        <v>#REF!</v>
      </c>
      <c r="HP53" t="e">
        <f>AND(#REF!,"AAAAAC/++N8=")</f>
        <v>#REF!</v>
      </c>
      <c r="HQ53" t="e">
        <f>AND(#REF!,"AAAAAC/++OA=")</f>
        <v>#REF!</v>
      </c>
      <c r="HR53" t="e">
        <f>AND(#REF!,"AAAAAC/++OE=")</f>
        <v>#REF!</v>
      </c>
      <c r="HS53" t="e">
        <f>AND(#REF!,"AAAAAC/++OI=")</f>
        <v>#REF!</v>
      </c>
      <c r="HT53" t="e">
        <f>AND(#REF!,"AAAAAC/++OM=")</f>
        <v>#REF!</v>
      </c>
      <c r="HU53" t="e">
        <f>AND(#REF!,"AAAAAC/++OQ=")</f>
        <v>#REF!</v>
      </c>
      <c r="HV53" t="e">
        <f>AND(#REF!,"AAAAAC/++OU=")</f>
        <v>#REF!</v>
      </c>
      <c r="HW53" t="e">
        <f>AND(#REF!,"AAAAAC/++OY=")</f>
        <v>#REF!</v>
      </c>
      <c r="HX53" t="e">
        <f>AND(#REF!,"AAAAAC/++Oc=")</f>
        <v>#REF!</v>
      </c>
      <c r="HY53" t="e">
        <f>AND(#REF!,"AAAAAC/++Og=")</f>
        <v>#REF!</v>
      </c>
      <c r="HZ53" t="e">
        <f>AND(#REF!,"AAAAAC/++Ok=")</f>
        <v>#REF!</v>
      </c>
      <c r="IA53" t="e">
        <f>AND(#REF!,"AAAAAC/++Oo=")</f>
        <v>#REF!</v>
      </c>
      <c r="IB53" t="e">
        <f>AND(#REF!,"AAAAAC/++Os=")</f>
        <v>#REF!</v>
      </c>
      <c r="IC53" t="e">
        <f>AND(#REF!,"AAAAAC/++Ow=")</f>
        <v>#REF!</v>
      </c>
      <c r="ID53" t="e">
        <f>AND(#REF!,"AAAAAC/++O0=")</f>
        <v>#REF!</v>
      </c>
      <c r="IE53" t="e">
        <f>AND(#REF!,"AAAAAC/++O4=")</f>
        <v>#REF!</v>
      </c>
      <c r="IF53" t="e">
        <f>AND(#REF!,"AAAAAC/++O8=")</f>
        <v>#REF!</v>
      </c>
      <c r="IG53" t="e">
        <f>AND(#REF!,"AAAAAC/++PA=")</f>
        <v>#REF!</v>
      </c>
      <c r="IH53" t="e">
        <f>AND(#REF!,"AAAAAC/++PE=")</f>
        <v>#REF!</v>
      </c>
      <c r="II53" t="e">
        <f>AND(#REF!,"AAAAAC/++PI=")</f>
        <v>#REF!</v>
      </c>
      <c r="IJ53" t="e">
        <f>AND(#REF!,"AAAAAC/++PM=")</f>
        <v>#REF!</v>
      </c>
      <c r="IK53" t="e">
        <f>AND(#REF!,"AAAAAC/++PQ=")</f>
        <v>#REF!</v>
      </c>
      <c r="IL53" t="e">
        <f>AND(#REF!,"AAAAAC/++PU=")</f>
        <v>#REF!</v>
      </c>
      <c r="IM53" t="e">
        <f>AND(#REF!,"AAAAAC/++PY=")</f>
        <v>#REF!</v>
      </c>
      <c r="IN53" t="e">
        <f>AND(#REF!,"AAAAAC/++Pc=")</f>
        <v>#REF!</v>
      </c>
      <c r="IO53" t="e">
        <f>AND(#REF!,"AAAAAC/++Pg=")</f>
        <v>#REF!</v>
      </c>
      <c r="IP53" t="e">
        <f>AND(#REF!,"AAAAAC/++Pk=")</f>
        <v>#REF!</v>
      </c>
      <c r="IQ53" t="e">
        <f>AND(#REF!,"AAAAAC/++Po=")</f>
        <v>#REF!</v>
      </c>
      <c r="IR53" t="e">
        <f>AND(#REF!,"AAAAAC/++Ps=")</f>
        <v>#REF!</v>
      </c>
      <c r="IS53" t="e">
        <f>AND(#REF!,"AAAAAC/++Pw=")</f>
        <v>#REF!</v>
      </c>
      <c r="IT53" t="e">
        <f>AND(#REF!,"AAAAAC/++P0=")</f>
        <v>#REF!</v>
      </c>
      <c r="IU53" t="e">
        <f>AND(#REF!,"AAAAAC/++P4=")</f>
        <v>#REF!</v>
      </c>
      <c r="IV53" t="e">
        <f>AND(#REF!,"AAAAAC/++P8=")</f>
        <v>#REF!</v>
      </c>
    </row>
    <row r="54" spans="1:256" x14ac:dyDescent="0.2">
      <c r="A54" t="e">
        <f>AND(#REF!,"AAAAAHfdjgA=")</f>
        <v>#REF!</v>
      </c>
      <c r="B54" t="e">
        <f>AND(#REF!,"AAAAAHfdjgE=")</f>
        <v>#REF!</v>
      </c>
      <c r="C54" t="e">
        <f>AND(#REF!,"AAAAAHfdjgI=")</f>
        <v>#REF!</v>
      </c>
      <c r="D54" t="e">
        <f>AND(#REF!,"AAAAAHfdjgM=")</f>
        <v>#REF!</v>
      </c>
      <c r="E54" t="e">
        <f>AND(#REF!,"AAAAAHfdjgQ=")</f>
        <v>#REF!</v>
      </c>
      <c r="F54" t="e">
        <f>AND(#REF!,"AAAAAHfdjgU=")</f>
        <v>#REF!</v>
      </c>
      <c r="G54" t="e">
        <f>AND(#REF!,"AAAAAHfdjgY=")</f>
        <v>#REF!</v>
      </c>
      <c r="H54" t="e">
        <f>AND(#REF!,"AAAAAHfdjgc=")</f>
        <v>#REF!</v>
      </c>
      <c r="I54" t="e">
        <f>AND(#REF!,"AAAAAHfdjgg=")</f>
        <v>#REF!</v>
      </c>
      <c r="J54" t="e">
        <f>AND(#REF!,"AAAAAHfdjgk=")</f>
        <v>#REF!</v>
      </c>
      <c r="K54" t="e">
        <f>AND(#REF!,"AAAAAHfdjgo=")</f>
        <v>#REF!</v>
      </c>
      <c r="L54" t="e">
        <f>AND(#REF!,"AAAAAHfdjgs=")</f>
        <v>#REF!</v>
      </c>
      <c r="M54" t="e">
        <f>AND(#REF!,"AAAAAHfdjgw=")</f>
        <v>#REF!</v>
      </c>
      <c r="N54" t="e">
        <f>AND(#REF!,"AAAAAHfdjg0=")</f>
        <v>#REF!</v>
      </c>
      <c r="O54" t="e">
        <f>IF(#REF!,"AAAAAHfdjg4=",0)</f>
        <v>#REF!</v>
      </c>
      <c r="P54" t="e">
        <f>AND(#REF!,"AAAAAHfdjg8=")</f>
        <v>#REF!</v>
      </c>
      <c r="Q54" t="e">
        <f>AND(#REF!,"AAAAAHfdjhA=")</f>
        <v>#REF!</v>
      </c>
      <c r="R54" t="e">
        <f>AND(#REF!,"AAAAAHfdjhE=")</f>
        <v>#REF!</v>
      </c>
      <c r="S54" t="e">
        <f>AND(#REF!,"AAAAAHfdjhI=")</f>
        <v>#REF!</v>
      </c>
      <c r="T54" t="e">
        <f>AND(#REF!,"AAAAAHfdjhM=")</f>
        <v>#REF!</v>
      </c>
      <c r="U54" t="e">
        <f>AND(#REF!,"AAAAAHfdjhQ=")</f>
        <v>#REF!</v>
      </c>
      <c r="V54" t="e">
        <f>AND(#REF!,"AAAAAHfdjhU=")</f>
        <v>#REF!</v>
      </c>
      <c r="W54" t="e">
        <f>AND(#REF!,"AAAAAHfdjhY=")</f>
        <v>#REF!</v>
      </c>
      <c r="X54" t="e">
        <f>AND(#REF!,"AAAAAHfdjhc=")</f>
        <v>#REF!</v>
      </c>
      <c r="Y54" t="e">
        <f>AND(#REF!,"AAAAAHfdjhg=")</f>
        <v>#REF!</v>
      </c>
      <c r="Z54" t="e">
        <f>AND(#REF!,"AAAAAHfdjhk=")</f>
        <v>#REF!</v>
      </c>
      <c r="AA54" t="e">
        <f>AND(#REF!,"AAAAAHfdjho=")</f>
        <v>#REF!</v>
      </c>
      <c r="AB54" t="e">
        <f>AND(#REF!,"AAAAAHfdjhs=")</f>
        <v>#REF!</v>
      </c>
      <c r="AC54" t="e">
        <f>AND(#REF!,"AAAAAHfdjhw=")</f>
        <v>#REF!</v>
      </c>
      <c r="AD54" t="e">
        <f>AND(#REF!,"AAAAAHfdjh0=")</f>
        <v>#REF!</v>
      </c>
      <c r="AE54" t="e">
        <f>AND(#REF!,"AAAAAHfdjh4=")</f>
        <v>#REF!</v>
      </c>
      <c r="AF54" t="e">
        <f>AND(#REF!,"AAAAAHfdjh8=")</f>
        <v>#REF!</v>
      </c>
      <c r="AG54" t="e">
        <f>AND(#REF!,"AAAAAHfdjiA=")</f>
        <v>#REF!</v>
      </c>
      <c r="AH54" t="e">
        <f>AND(#REF!,"AAAAAHfdjiE=")</f>
        <v>#REF!</v>
      </c>
      <c r="AI54" t="e">
        <f>AND(#REF!,"AAAAAHfdjiI=")</f>
        <v>#REF!</v>
      </c>
      <c r="AJ54" t="e">
        <f>AND(#REF!,"AAAAAHfdjiM=")</f>
        <v>#REF!</v>
      </c>
      <c r="AK54" t="e">
        <f>AND(#REF!,"AAAAAHfdjiQ=")</f>
        <v>#REF!</v>
      </c>
      <c r="AL54" t="e">
        <f>AND(#REF!,"AAAAAHfdjiU=")</f>
        <v>#REF!</v>
      </c>
      <c r="AM54" t="e">
        <f>AND(#REF!,"AAAAAHfdjiY=")</f>
        <v>#REF!</v>
      </c>
      <c r="AN54" t="e">
        <f>AND(#REF!,"AAAAAHfdjic=")</f>
        <v>#REF!</v>
      </c>
      <c r="AO54" t="e">
        <f>AND(#REF!,"AAAAAHfdjig=")</f>
        <v>#REF!</v>
      </c>
      <c r="AP54" t="e">
        <f>AND(#REF!,"AAAAAHfdjik=")</f>
        <v>#REF!</v>
      </c>
      <c r="AQ54" t="e">
        <f>AND(#REF!,"AAAAAHfdjio=")</f>
        <v>#REF!</v>
      </c>
      <c r="AR54" t="e">
        <f>AND(#REF!,"AAAAAHfdjis=")</f>
        <v>#REF!</v>
      </c>
      <c r="AS54" t="e">
        <f>AND(#REF!,"AAAAAHfdjiw=")</f>
        <v>#REF!</v>
      </c>
      <c r="AT54" t="e">
        <f>AND(#REF!,"AAAAAHfdji0=")</f>
        <v>#REF!</v>
      </c>
      <c r="AU54" t="e">
        <f>AND(#REF!,"AAAAAHfdji4=")</f>
        <v>#REF!</v>
      </c>
      <c r="AV54" t="e">
        <f>AND(#REF!,"AAAAAHfdji8=")</f>
        <v>#REF!</v>
      </c>
      <c r="AW54" t="e">
        <f>AND(#REF!,"AAAAAHfdjjA=")</f>
        <v>#REF!</v>
      </c>
      <c r="AX54" t="e">
        <f>AND(#REF!,"AAAAAHfdjjE=")</f>
        <v>#REF!</v>
      </c>
      <c r="AY54" t="e">
        <f>AND(#REF!,"AAAAAHfdjjI=")</f>
        <v>#REF!</v>
      </c>
      <c r="AZ54" t="e">
        <f>AND(#REF!,"AAAAAHfdjjM=")</f>
        <v>#REF!</v>
      </c>
      <c r="BA54" t="e">
        <f>AND(#REF!,"AAAAAHfdjjQ=")</f>
        <v>#REF!</v>
      </c>
      <c r="BB54" t="e">
        <f>AND(#REF!,"AAAAAHfdjjU=")</f>
        <v>#REF!</v>
      </c>
      <c r="BC54" t="e">
        <f>AND(#REF!,"AAAAAHfdjjY=")</f>
        <v>#REF!</v>
      </c>
      <c r="BD54" t="e">
        <f>AND(#REF!,"AAAAAHfdjjc=")</f>
        <v>#REF!</v>
      </c>
      <c r="BE54" t="e">
        <f>AND(#REF!,"AAAAAHfdjjg=")</f>
        <v>#REF!</v>
      </c>
      <c r="BF54" t="e">
        <f>AND(#REF!,"AAAAAHfdjjk=")</f>
        <v>#REF!</v>
      </c>
      <c r="BG54" t="e">
        <f>AND(#REF!,"AAAAAHfdjjo=")</f>
        <v>#REF!</v>
      </c>
      <c r="BH54" t="e">
        <f>AND(#REF!,"AAAAAHfdjjs=")</f>
        <v>#REF!</v>
      </c>
      <c r="BI54" t="e">
        <f>AND(#REF!,"AAAAAHfdjjw=")</f>
        <v>#REF!</v>
      </c>
      <c r="BJ54" t="e">
        <f>AND(#REF!,"AAAAAHfdjj0=")</f>
        <v>#REF!</v>
      </c>
      <c r="BK54" t="e">
        <f>AND(#REF!,"AAAAAHfdjj4=")</f>
        <v>#REF!</v>
      </c>
      <c r="BL54" t="e">
        <f>AND(#REF!,"AAAAAHfdjj8=")</f>
        <v>#REF!</v>
      </c>
      <c r="BM54" t="e">
        <f>AND(#REF!,"AAAAAHfdjkA=")</f>
        <v>#REF!</v>
      </c>
      <c r="BN54" t="e">
        <f>AND(#REF!,"AAAAAHfdjkE=")</f>
        <v>#REF!</v>
      </c>
      <c r="BO54" t="e">
        <f>AND(#REF!,"AAAAAHfdjkI=")</f>
        <v>#REF!</v>
      </c>
      <c r="BP54" t="e">
        <f>AND(#REF!,"AAAAAHfdjkM=")</f>
        <v>#REF!</v>
      </c>
      <c r="BQ54" t="e">
        <f>AND(#REF!,"AAAAAHfdjkQ=")</f>
        <v>#REF!</v>
      </c>
      <c r="BR54" t="e">
        <f>AND(#REF!,"AAAAAHfdjkU=")</f>
        <v>#REF!</v>
      </c>
      <c r="BS54" t="e">
        <f>AND(#REF!,"AAAAAHfdjkY=")</f>
        <v>#REF!</v>
      </c>
      <c r="BT54" t="e">
        <f>AND(#REF!,"AAAAAHfdjkc=")</f>
        <v>#REF!</v>
      </c>
      <c r="BU54" t="e">
        <f>AND(#REF!,"AAAAAHfdjkg=")</f>
        <v>#REF!</v>
      </c>
      <c r="BV54" t="e">
        <f>AND(#REF!,"AAAAAHfdjkk=")</f>
        <v>#REF!</v>
      </c>
      <c r="BW54" t="e">
        <f>AND(#REF!,"AAAAAHfdjko=")</f>
        <v>#REF!</v>
      </c>
      <c r="BX54" t="e">
        <f>AND(#REF!,"AAAAAHfdjks=")</f>
        <v>#REF!</v>
      </c>
      <c r="BY54" t="e">
        <f>AND(#REF!,"AAAAAHfdjkw=")</f>
        <v>#REF!</v>
      </c>
      <c r="BZ54" t="e">
        <f>AND(#REF!,"AAAAAHfdjk0=")</f>
        <v>#REF!</v>
      </c>
      <c r="CA54" t="e">
        <f>AND(#REF!,"AAAAAHfdjk4=")</f>
        <v>#REF!</v>
      </c>
      <c r="CB54" t="e">
        <f>AND(#REF!,"AAAAAHfdjk8=")</f>
        <v>#REF!</v>
      </c>
      <c r="CC54" t="e">
        <f>AND(#REF!,"AAAAAHfdjlA=")</f>
        <v>#REF!</v>
      </c>
      <c r="CD54" t="e">
        <f>AND(#REF!,"AAAAAHfdjlE=")</f>
        <v>#REF!</v>
      </c>
      <c r="CE54" t="e">
        <f>AND(#REF!,"AAAAAHfdjlI=")</f>
        <v>#REF!</v>
      </c>
      <c r="CF54" t="e">
        <f>AND(#REF!,"AAAAAHfdjlM=")</f>
        <v>#REF!</v>
      </c>
      <c r="CG54" t="e">
        <f>AND(#REF!,"AAAAAHfdjlQ=")</f>
        <v>#REF!</v>
      </c>
      <c r="CH54" t="e">
        <f>AND(#REF!,"AAAAAHfdjlU=")</f>
        <v>#REF!</v>
      </c>
      <c r="CI54" t="e">
        <f>AND(#REF!,"AAAAAHfdjlY=")</f>
        <v>#REF!</v>
      </c>
      <c r="CJ54" t="e">
        <f>AND(#REF!,"AAAAAHfdjlc=")</f>
        <v>#REF!</v>
      </c>
      <c r="CK54" t="e">
        <f>AND(#REF!,"AAAAAHfdjlg=")</f>
        <v>#REF!</v>
      </c>
      <c r="CL54" t="e">
        <f>IF(#REF!,"AAAAAHfdjlk=",0)</f>
        <v>#REF!</v>
      </c>
      <c r="CM54" t="e">
        <f>AND(#REF!,"AAAAAHfdjlo=")</f>
        <v>#REF!</v>
      </c>
      <c r="CN54" t="e">
        <f>AND(#REF!,"AAAAAHfdjls=")</f>
        <v>#REF!</v>
      </c>
      <c r="CO54" t="e">
        <f>AND(#REF!,"AAAAAHfdjlw=")</f>
        <v>#REF!</v>
      </c>
      <c r="CP54" t="e">
        <f>AND(#REF!,"AAAAAHfdjl0=")</f>
        <v>#REF!</v>
      </c>
      <c r="CQ54" t="e">
        <f>AND(#REF!,"AAAAAHfdjl4=")</f>
        <v>#REF!</v>
      </c>
      <c r="CR54" t="e">
        <f>AND(#REF!,"AAAAAHfdjl8=")</f>
        <v>#REF!</v>
      </c>
      <c r="CS54" t="e">
        <f>AND(#REF!,"AAAAAHfdjmA=")</f>
        <v>#REF!</v>
      </c>
      <c r="CT54" t="e">
        <f>AND(#REF!,"AAAAAHfdjmE=")</f>
        <v>#REF!</v>
      </c>
      <c r="CU54" t="e">
        <f>AND(#REF!,"AAAAAHfdjmI=")</f>
        <v>#REF!</v>
      </c>
      <c r="CV54" t="e">
        <f>AND(#REF!,"AAAAAHfdjmM=")</f>
        <v>#REF!</v>
      </c>
      <c r="CW54" t="e">
        <f>AND(#REF!,"AAAAAHfdjmQ=")</f>
        <v>#REF!</v>
      </c>
      <c r="CX54" t="e">
        <f>AND(#REF!,"AAAAAHfdjmU=")</f>
        <v>#REF!</v>
      </c>
      <c r="CY54" t="e">
        <f>AND(#REF!,"AAAAAHfdjmY=")</f>
        <v>#REF!</v>
      </c>
      <c r="CZ54" t="e">
        <f>AND(#REF!,"AAAAAHfdjmc=")</f>
        <v>#REF!</v>
      </c>
      <c r="DA54" t="e">
        <f>AND(#REF!,"AAAAAHfdjmg=")</f>
        <v>#REF!</v>
      </c>
      <c r="DB54" t="e">
        <f>AND(#REF!,"AAAAAHfdjmk=")</f>
        <v>#REF!</v>
      </c>
      <c r="DC54" t="e">
        <f>AND(#REF!,"AAAAAHfdjmo=")</f>
        <v>#REF!</v>
      </c>
      <c r="DD54" t="e">
        <f>AND(#REF!,"AAAAAHfdjms=")</f>
        <v>#REF!</v>
      </c>
      <c r="DE54" t="e">
        <f>AND(#REF!,"AAAAAHfdjmw=")</f>
        <v>#REF!</v>
      </c>
      <c r="DF54" t="e">
        <f>AND(#REF!,"AAAAAHfdjm0=")</f>
        <v>#REF!</v>
      </c>
      <c r="DG54" t="e">
        <f>AND(#REF!,"AAAAAHfdjm4=")</f>
        <v>#REF!</v>
      </c>
      <c r="DH54" t="e">
        <f>AND(#REF!,"AAAAAHfdjm8=")</f>
        <v>#REF!</v>
      </c>
      <c r="DI54" t="e">
        <f>AND(#REF!,"AAAAAHfdjnA=")</f>
        <v>#REF!</v>
      </c>
      <c r="DJ54" t="e">
        <f>AND(#REF!,"AAAAAHfdjnE=")</f>
        <v>#REF!</v>
      </c>
      <c r="DK54" t="e">
        <f>AND(#REF!,"AAAAAHfdjnI=")</f>
        <v>#REF!</v>
      </c>
      <c r="DL54" t="e">
        <f>AND(#REF!,"AAAAAHfdjnM=")</f>
        <v>#REF!</v>
      </c>
      <c r="DM54" t="e">
        <f>AND(#REF!,"AAAAAHfdjnQ=")</f>
        <v>#REF!</v>
      </c>
      <c r="DN54" t="e">
        <f>AND(#REF!,"AAAAAHfdjnU=")</f>
        <v>#REF!</v>
      </c>
      <c r="DO54" t="e">
        <f>AND(#REF!,"AAAAAHfdjnY=")</f>
        <v>#REF!</v>
      </c>
      <c r="DP54" t="e">
        <f>AND(#REF!,"AAAAAHfdjnc=")</f>
        <v>#REF!</v>
      </c>
      <c r="DQ54" t="e">
        <f>AND(#REF!,"AAAAAHfdjng=")</f>
        <v>#REF!</v>
      </c>
      <c r="DR54" t="e">
        <f>AND(#REF!,"AAAAAHfdjnk=")</f>
        <v>#REF!</v>
      </c>
      <c r="DS54" t="e">
        <f>AND(#REF!,"AAAAAHfdjno=")</f>
        <v>#REF!</v>
      </c>
      <c r="DT54" t="e">
        <f>AND(#REF!,"AAAAAHfdjns=")</f>
        <v>#REF!</v>
      </c>
      <c r="DU54" t="e">
        <f>AND(#REF!,"AAAAAHfdjnw=")</f>
        <v>#REF!</v>
      </c>
      <c r="DV54" t="e">
        <f>AND(#REF!,"AAAAAHfdjn0=")</f>
        <v>#REF!</v>
      </c>
      <c r="DW54" t="e">
        <f>AND(#REF!,"AAAAAHfdjn4=")</f>
        <v>#REF!</v>
      </c>
      <c r="DX54" t="e">
        <f>AND(#REF!,"AAAAAHfdjn8=")</f>
        <v>#REF!</v>
      </c>
      <c r="DY54" t="e">
        <f>AND(#REF!,"AAAAAHfdjoA=")</f>
        <v>#REF!</v>
      </c>
      <c r="DZ54" t="e">
        <f>AND(#REF!,"AAAAAHfdjoE=")</f>
        <v>#REF!</v>
      </c>
      <c r="EA54" t="e">
        <f>AND(#REF!,"AAAAAHfdjoI=")</f>
        <v>#REF!</v>
      </c>
      <c r="EB54" t="e">
        <f>AND(#REF!,"AAAAAHfdjoM=")</f>
        <v>#REF!</v>
      </c>
      <c r="EC54" t="e">
        <f>AND(#REF!,"AAAAAHfdjoQ=")</f>
        <v>#REF!</v>
      </c>
      <c r="ED54" t="e">
        <f>AND(#REF!,"AAAAAHfdjoU=")</f>
        <v>#REF!</v>
      </c>
      <c r="EE54" t="e">
        <f>AND(#REF!,"AAAAAHfdjoY=")</f>
        <v>#REF!</v>
      </c>
      <c r="EF54" t="e">
        <f>AND(#REF!,"AAAAAHfdjoc=")</f>
        <v>#REF!</v>
      </c>
      <c r="EG54" t="e">
        <f>AND(#REF!,"AAAAAHfdjog=")</f>
        <v>#REF!</v>
      </c>
      <c r="EH54" t="e">
        <f>AND(#REF!,"AAAAAHfdjok=")</f>
        <v>#REF!</v>
      </c>
      <c r="EI54" t="e">
        <f>AND(#REF!,"AAAAAHfdjoo=")</f>
        <v>#REF!</v>
      </c>
      <c r="EJ54" t="e">
        <f>AND(#REF!,"AAAAAHfdjos=")</f>
        <v>#REF!</v>
      </c>
      <c r="EK54" t="e">
        <f>AND(#REF!,"AAAAAHfdjow=")</f>
        <v>#REF!</v>
      </c>
      <c r="EL54" t="e">
        <f>AND(#REF!,"AAAAAHfdjo0=")</f>
        <v>#REF!</v>
      </c>
      <c r="EM54" t="e">
        <f>AND(#REF!,"AAAAAHfdjo4=")</f>
        <v>#REF!</v>
      </c>
      <c r="EN54" t="e">
        <f>AND(#REF!,"AAAAAHfdjo8=")</f>
        <v>#REF!</v>
      </c>
      <c r="EO54" t="e">
        <f>AND(#REF!,"AAAAAHfdjpA=")</f>
        <v>#REF!</v>
      </c>
      <c r="EP54" t="e">
        <f>AND(#REF!,"AAAAAHfdjpE=")</f>
        <v>#REF!</v>
      </c>
      <c r="EQ54" t="e">
        <f>AND(#REF!,"AAAAAHfdjpI=")</f>
        <v>#REF!</v>
      </c>
      <c r="ER54" t="e">
        <f>AND(#REF!,"AAAAAHfdjpM=")</f>
        <v>#REF!</v>
      </c>
      <c r="ES54" t="e">
        <f>AND(#REF!,"AAAAAHfdjpQ=")</f>
        <v>#REF!</v>
      </c>
      <c r="ET54" t="e">
        <f>AND(#REF!,"AAAAAHfdjpU=")</f>
        <v>#REF!</v>
      </c>
      <c r="EU54" t="e">
        <f>AND(#REF!,"AAAAAHfdjpY=")</f>
        <v>#REF!</v>
      </c>
      <c r="EV54" t="e">
        <f>AND(#REF!,"AAAAAHfdjpc=")</f>
        <v>#REF!</v>
      </c>
      <c r="EW54" t="e">
        <f>AND(#REF!,"AAAAAHfdjpg=")</f>
        <v>#REF!</v>
      </c>
      <c r="EX54" t="e">
        <f>AND(#REF!,"AAAAAHfdjpk=")</f>
        <v>#REF!</v>
      </c>
      <c r="EY54" t="e">
        <f>AND(#REF!,"AAAAAHfdjpo=")</f>
        <v>#REF!</v>
      </c>
      <c r="EZ54" t="e">
        <f>AND(#REF!,"AAAAAHfdjps=")</f>
        <v>#REF!</v>
      </c>
      <c r="FA54" t="e">
        <f>AND(#REF!,"AAAAAHfdjpw=")</f>
        <v>#REF!</v>
      </c>
      <c r="FB54" t="e">
        <f>AND(#REF!,"AAAAAHfdjp0=")</f>
        <v>#REF!</v>
      </c>
      <c r="FC54" t="e">
        <f>AND(#REF!,"AAAAAHfdjp4=")</f>
        <v>#REF!</v>
      </c>
      <c r="FD54" t="e">
        <f>AND(#REF!,"AAAAAHfdjp8=")</f>
        <v>#REF!</v>
      </c>
      <c r="FE54" t="e">
        <f>AND(#REF!,"AAAAAHfdjqA=")</f>
        <v>#REF!</v>
      </c>
      <c r="FF54" t="e">
        <f>AND(#REF!,"AAAAAHfdjqE=")</f>
        <v>#REF!</v>
      </c>
      <c r="FG54" t="e">
        <f>AND(#REF!,"AAAAAHfdjqI=")</f>
        <v>#REF!</v>
      </c>
      <c r="FH54" t="e">
        <f>AND(#REF!,"AAAAAHfdjqM=")</f>
        <v>#REF!</v>
      </c>
      <c r="FI54" t="e">
        <f>IF(#REF!,"AAAAAHfdjqQ=",0)</f>
        <v>#REF!</v>
      </c>
      <c r="FJ54" t="e">
        <f>AND(#REF!,"AAAAAHfdjqU=")</f>
        <v>#REF!</v>
      </c>
      <c r="FK54" t="e">
        <f>AND(#REF!,"AAAAAHfdjqY=")</f>
        <v>#REF!</v>
      </c>
      <c r="FL54" t="e">
        <f>AND(#REF!,"AAAAAHfdjqc=")</f>
        <v>#REF!</v>
      </c>
      <c r="FM54" t="e">
        <f>AND(#REF!,"AAAAAHfdjqg=")</f>
        <v>#REF!</v>
      </c>
      <c r="FN54" t="e">
        <f>AND(#REF!,"AAAAAHfdjqk=")</f>
        <v>#REF!</v>
      </c>
      <c r="FO54" t="e">
        <f>AND(#REF!,"AAAAAHfdjqo=")</f>
        <v>#REF!</v>
      </c>
      <c r="FP54" t="e">
        <f>AND(#REF!,"AAAAAHfdjqs=")</f>
        <v>#REF!</v>
      </c>
      <c r="FQ54" t="e">
        <f>AND(#REF!,"AAAAAHfdjqw=")</f>
        <v>#REF!</v>
      </c>
      <c r="FR54" t="e">
        <f>AND(#REF!,"AAAAAHfdjq0=")</f>
        <v>#REF!</v>
      </c>
      <c r="FS54" t="e">
        <f>AND(#REF!,"AAAAAHfdjq4=")</f>
        <v>#REF!</v>
      </c>
      <c r="FT54" t="e">
        <f>AND(#REF!,"AAAAAHfdjq8=")</f>
        <v>#REF!</v>
      </c>
      <c r="FU54" t="e">
        <f>AND(#REF!,"AAAAAHfdjrA=")</f>
        <v>#REF!</v>
      </c>
      <c r="FV54" t="e">
        <f>AND(#REF!,"AAAAAHfdjrE=")</f>
        <v>#REF!</v>
      </c>
      <c r="FW54" t="e">
        <f>AND(#REF!,"AAAAAHfdjrI=")</f>
        <v>#REF!</v>
      </c>
      <c r="FX54" t="e">
        <f>AND(#REF!,"AAAAAHfdjrM=")</f>
        <v>#REF!</v>
      </c>
      <c r="FY54" t="e">
        <f>AND(#REF!,"AAAAAHfdjrQ=")</f>
        <v>#REF!</v>
      </c>
      <c r="FZ54" t="e">
        <f>AND(#REF!,"AAAAAHfdjrU=")</f>
        <v>#REF!</v>
      </c>
      <c r="GA54" t="e">
        <f>AND(#REF!,"AAAAAHfdjrY=")</f>
        <v>#REF!</v>
      </c>
      <c r="GB54" t="e">
        <f>AND(#REF!,"AAAAAHfdjrc=")</f>
        <v>#REF!</v>
      </c>
      <c r="GC54" t="e">
        <f>AND(#REF!,"AAAAAHfdjrg=")</f>
        <v>#REF!</v>
      </c>
      <c r="GD54" t="e">
        <f>AND(#REF!,"AAAAAHfdjrk=")</f>
        <v>#REF!</v>
      </c>
      <c r="GE54" t="e">
        <f>AND(#REF!,"AAAAAHfdjro=")</f>
        <v>#REF!</v>
      </c>
      <c r="GF54" t="e">
        <f>AND(#REF!,"AAAAAHfdjrs=")</f>
        <v>#REF!</v>
      </c>
      <c r="GG54" t="e">
        <f>AND(#REF!,"AAAAAHfdjrw=")</f>
        <v>#REF!</v>
      </c>
      <c r="GH54" t="e">
        <f>AND(#REF!,"AAAAAHfdjr0=")</f>
        <v>#REF!</v>
      </c>
      <c r="GI54" t="e">
        <f>AND(#REF!,"AAAAAHfdjr4=")</f>
        <v>#REF!</v>
      </c>
      <c r="GJ54" t="e">
        <f>AND(#REF!,"AAAAAHfdjr8=")</f>
        <v>#REF!</v>
      </c>
      <c r="GK54" t="e">
        <f>AND(#REF!,"AAAAAHfdjsA=")</f>
        <v>#REF!</v>
      </c>
      <c r="GL54" t="e">
        <f>AND(#REF!,"AAAAAHfdjsE=")</f>
        <v>#REF!</v>
      </c>
      <c r="GM54" t="e">
        <f>AND(#REF!,"AAAAAHfdjsI=")</f>
        <v>#REF!</v>
      </c>
      <c r="GN54" t="e">
        <f>AND(#REF!,"AAAAAHfdjsM=")</f>
        <v>#REF!</v>
      </c>
      <c r="GO54" t="e">
        <f>AND(#REF!,"AAAAAHfdjsQ=")</f>
        <v>#REF!</v>
      </c>
      <c r="GP54" t="e">
        <f>AND(#REF!,"AAAAAHfdjsU=")</f>
        <v>#REF!</v>
      </c>
      <c r="GQ54" t="e">
        <f>AND(#REF!,"AAAAAHfdjsY=")</f>
        <v>#REF!</v>
      </c>
      <c r="GR54" t="e">
        <f>AND(#REF!,"AAAAAHfdjsc=")</f>
        <v>#REF!</v>
      </c>
      <c r="GS54" t="e">
        <f>AND(#REF!,"AAAAAHfdjsg=")</f>
        <v>#REF!</v>
      </c>
      <c r="GT54" t="e">
        <f>AND(#REF!,"AAAAAHfdjsk=")</f>
        <v>#REF!</v>
      </c>
      <c r="GU54" t="e">
        <f>AND(#REF!,"AAAAAHfdjso=")</f>
        <v>#REF!</v>
      </c>
      <c r="GV54" t="e">
        <f>AND(#REF!,"AAAAAHfdjss=")</f>
        <v>#REF!</v>
      </c>
      <c r="GW54" t="e">
        <f>AND(#REF!,"AAAAAHfdjsw=")</f>
        <v>#REF!</v>
      </c>
      <c r="GX54" t="e">
        <f>AND(#REF!,"AAAAAHfdjs0=")</f>
        <v>#REF!</v>
      </c>
      <c r="GY54" t="e">
        <f>AND(#REF!,"AAAAAHfdjs4=")</f>
        <v>#REF!</v>
      </c>
      <c r="GZ54" t="e">
        <f>AND(#REF!,"AAAAAHfdjs8=")</f>
        <v>#REF!</v>
      </c>
      <c r="HA54" t="e">
        <f>AND(#REF!,"AAAAAHfdjtA=")</f>
        <v>#REF!</v>
      </c>
      <c r="HB54" t="e">
        <f>AND(#REF!,"AAAAAHfdjtE=")</f>
        <v>#REF!</v>
      </c>
      <c r="HC54" t="e">
        <f>AND(#REF!,"AAAAAHfdjtI=")</f>
        <v>#REF!</v>
      </c>
      <c r="HD54" t="e">
        <f>AND(#REF!,"AAAAAHfdjtM=")</f>
        <v>#REF!</v>
      </c>
      <c r="HE54" t="e">
        <f>AND(#REF!,"AAAAAHfdjtQ=")</f>
        <v>#REF!</v>
      </c>
      <c r="HF54" t="e">
        <f>AND(#REF!,"AAAAAHfdjtU=")</f>
        <v>#REF!</v>
      </c>
      <c r="HG54" t="e">
        <f>AND(#REF!,"AAAAAHfdjtY=")</f>
        <v>#REF!</v>
      </c>
      <c r="HH54" t="e">
        <f>AND(#REF!,"AAAAAHfdjtc=")</f>
        <v>#REF!</v>
      </c>
      <c r="HI54" t="e">
        <f>AND(#REF!,"AAAAAHfdjtg=")</f>
        <v>#REF!</v>
      </c>
      <c r="HJ54" t="e">
        <f>AND(#REF!,"AAAAAHfdjtk=")</f>
        <v>#REF!</v>
      </c>
      <c r="HK54" t="e">
        <f>AND(#REF!,"AAAAAHfdjto=")</f>
        <v>#REF!</v>
      </c>
      <c r="HL54" t="e">
        <f>AND(#REF!,"AAAAAHfdjts=")</f>
        <v>#REF!</v>
      </c>
      <c r="HM54" t="e">
        <f>AND(#REF!,"AAAAAHfdjtw=")</f>
        <v>#REF!</v>
      </c>
      <c r="HN54" t="e">
        <f>AND(#REF!,"AAAAAHfdjt0=")</f>
        <v>#REF!</v>
      </c>
      <c r="HO54" t="e">
        <f>AND(#REF!,"AAAAAHfdjt4=")</f>
        <v>#REF!</v>
      </c>
      <c r="HP54" t="e">
        <f>AND(#REF!,"AAAAAHfdjt8=")</f>
        <v>#REF!</v>
      </c>
      <c r="HQ54" t="e">
        <f>AND(#REF!,"AAAAAHfdjuA=")</f>
        <v>#REF!</v>
      </c>
      <c r="HR54" t="e">
        <f>AND(#REF!,"AAAAAHfdjuE=")</f>
        <v>#REF!</v>
      </c>
      <c r="HS54" t="e">
        <f>AND(#REF!,"AAAAAHfdjuI=")</f>
        <v>#REF!</v>
      </c>
      <c r="HT54" t="e">
        <f>AND(#REF!,"AAAAAHfdjuM=")</f>
        <v>#REF!</v>
      </c>
      <c r="HU54" t="e">
        <f>AND(#REF!,"AAAAAHfdjuQ=")</f>
        <v>#REF!</v>
      </c>
      <c r="HV54" t="e">
        <f>AND(#REF!,"AAAAAHfdjuU=")</f>
        <v>#REF!</v>
      </c>
      <c r="HW54" t="e">
        <f>AND(#REF!,"AAAAAHfdjuY=")</f>
        <v>#REF!</v>
      </c>
      <c r="HX54" t="e">
        <f>AND(#REF!,"AAAAAHfdjuc=")</f>
        <v>#REF!</v>
      </c>
      <c r="HY54" t="e">
        <f>AND(#REF!,"AAAAAHfdjug=")</f>
        <v>#REF!</v>
      </c>
      <c r="HZ54" t="e">
        <f>AND(#REF!,"AAAAAHfdjuk=")</f>
        <v>#REF!</v>
      </c>
      <c r="IA54" t="e">
        <f>AND(#REF!,"AAAAAHfdjuo=")</f>
        <v>#REF!</v>
      </c>
      <c r="IB54" t="e">
        <f>AND(#REF!,"AAAAAHfdjus=")</f>
        <v>#REF!</v>
      </c>
      <c r="IC54" t="e">
        <f>AND(#REF!,"AAAAAHfdjuw=")</f>
        <v>#REF!</v>
      </c>
      <c r="ID54" t="e">
        <f>AND(#REF!,"AAAAAHfdju0=")</f>
        <v>#REF!</v>
      </c>
      <c r="IE54" t="e">
        <f>AND(#REF!,"AAAAAHfdju4=")</f>
        <v>#REF!</v>
      </c>
      <c r="IF54" t="e">
        <f>IF(#REF!,"AAAAAHfdju8=",0)</f>
        <v>#REF!</v>
      </c>
      <c r="IG54" t="e">
        <f>AND(#REF!,"AAAAAHfdjvA=")</f>
        <v>#REF!</v>
      </c>
      <c r="IH54" t="e">
        <f>AND(#REF!,"AAAAAHfdjvE=")</f>
        <v>#REF!</v>
      </c>
      <c r="II54" t="e">
        <f>AND(#REF!,"AAAAAHfdjvI=")</f>
        <v>#REF!</v>
      </c>
      <c r="IJ54" t="e">
        <f>AND(#REF!,"AAAAAHfdjvM=")</f>
        <v>#REF!</v>
      </c>
      <c r="IK54" t="e">
        <f>AND(#REF!,"AAAAAHfdjvQ=")</f>
        <v>#REF!</v>
      </c>
      <c r="IL54" t="e">
        <f>AND(#REF!,"AAAAAHfdjvU=")</f>
        <v>#REF!</v>
      </c>
      <c r="IM54" t="e">
        <f>AND(#REF!,"AAAAAHfdjvY=")</f>
        <v>#REF!</v>
      </c>
      <c r="IN54" t="e">
        <f>AND(#REF!,"AAAAAHfdjvc=")</f>
        <v>#REF!</v>
      </c>
      <c r="IO54" t="e">
        <f>AND(#REF!,"AAAAAHfdjvg=")</f>
        <v>#REF!</v>
      </c>
      <c r="IP54" t="e">
        <f>AND(#REF!,"AAAAAHfdjvk=")</f>
        <v>#REF!</v>
      </c>
      <c r="IQ54" t="e">
        <f>AND(#REF!,"AAAAAHfdjvo=")</f>
        <v>#REF!</v>
      </c>
      <c r="IR54" t="e">
        <f>AND(#REF!,"AAAAAHfdjvs=")</f>
        <v>#REF!</v>
      </c>
      <c r="IS54" t="e">
        <f>AND(#REF!,"AAAAAHfdjvw=")</f>
        <v>#REF!</v>
      </c>
      <c r="IT54" t="e">
        <f>AND(#REF!,"AAAAAHfdjv0=")</f>
        <v>#REF!</v>
      </c>
      <c r="IU54" t="e">
        <f>AND(#REF!,"AAAAAHfdjv4=")</f>
        <v>#REF!</v>
      </c>
      <c r="IV54" t="e">
        <f>AND(#REF!,"AAAAAHfdjv8=")</f>
        <v>#REF!</v>
      </c>
    </row>
    <row r="55" spans="1:256" x14ac:dyDescent="0.2">
      <c r="A55" t="e">
        <f>AND(#REF!,"AAAAAHfX0gA=")</f>
        <v>#REF!</v>
      </c>
      <c r="B55" t="e">
        <f>AND(#REF!,"AAAAAHfX0gE=")</f>
        <v>#REF!</v>
      </c>
      <c r="C55" t="e">
        <f>AND(#REF!,"AAAAAHfX0gI=")</f>
        <v>#REF!</v>
      </c>
      <c r="D55" t="e">
        <f>AND(#REF!,"AAAAAHfX0gM=")</f>
        <v>#REF!</v>
      </c>
      <c r="E55" t="e">
        <f>AND(#REF!,"AAAAAHfX0gQ=")</f>
        <v>#REF!</v>
      </c>
      <c r="F55" t="e">
        <f>AND(#REF!,"AAAAAHfX0gU=")</f>
        <v>#REF!</v>
      </c>
      <c r="G55" t="e">
        <f>AND(#REF!,"AAAAAHfX0gY=")</f>
        <v>#REF!</v>
      </c>
      <c r="H55" t="e">
        <f>AND(#REF!,"AAAAAHfX0gc=")</f>
        <v>#REF!</v>
      </c>
      <c r="I55" t="e">
        <f>AND(#REF!,"AAAAAHfX0gg=")</f>
        <v>#REF!</v>
      </c>
      <c r="J55" t="e">
        <f>AND(#REF!,"AAAAAHfX0gk=")</f>
        <v>#REF!</v>
      </c>
      <c r="K55" t="e">
        <f>AND(#REF!,"AAAAAHfX0go=")</f>
        <v>#REF!</v>
      </c>
      <c r="L55" t="e">
        <f>AND(#REF!,"AAAAAHfX0gs=")</f>
        <v>#REF!</v>
      </c>
      <c r="M55" t="e">
        <f>AND(#REF!,"AAAAAHfX0gw=")</f>
        <v>#REF!</v>
      </c>
      <c r="N55" t="e">
        <f>AND(#REF!,"AAAAAHfX0g0=")</f>
        <v>#REF!</v>
      </c>
      <c r="O55" t="e">
        <f>AND(#REF!,"AAAAAHfX0g4=")</f>
        <v>#REF!</v>
      </c>
      <c r="P55" t="e">
        <f>AND(#REF!,"AAAAAHfX0g8=")</f>
        <v>#REF!</v>
      </c>
      <c r="Q55" t="e">
        <f>AND(#REF!,"AAAAAHfX0hA=")</f>
        <v>#REF!</v>
      </c>
      <c r="R55" t="e">
        <f>AND(#REF!,"AAAAAHfX0hE=")</f>
        <v>#REF!</v>
      </c>
      <c r="S55" t="e">
        <f>AND(#REF!,"AAAAAHfX0hI=")</f>
        <v>#REF!</v>
      </c>
      <c r="T55" t="e">
        <f>AND(#REF!,"AAAAAHfX0hM=")</f>
        <v>#REF!</v>
      </c>
      <c r="U55" t="e">
        <f>AND(#REF!,"AAAAAHfX0hQ=")</f>
        <v>#REF!</v>
      </c>
      <c r="V55" t="e">
        <f>AND(#REF!,"AAAAAHfX0hU=")</f>
        <v>#REF!</v>
      </c>
      <c r="W55" t="e">
        <f>AND(#REF!,"AAAAAHfX0hY=")</f>
        <v>#REF!</v>
      </c>
      <c r="X55" t="e">
        <f>AND(#REF!,"AAAAAHfX0hc=")</f>
        <v>#REF!</v>
      </c>
      <c r="Y55" t="e">
        <f>AND(#REF!,"AAAAAHfX0hg=")</f>
        <v>#REF!</v>
      </c>
      <c r="Z55" t="e">
        <f>AND(#REF!,"AAAAAHfX0hk=")</f>
        <v>#REF!</v>
      </c>
      <c r="AA55" t="e">
        <f>AND(#REF!,"AAAAAHfX0ho=")</f>
        <v>#REF!</v>
      </c>
      <c r="AB55" t="e">
        <f>AND(#REF!,"AAAAAHfX0hs=")</f>
        <v>#REF!</v>
      </c>
      <c r="AC55" t="e">
        <f>AND(#REF!,"AAAAAHfX0hw=")</f>
        <v>#REF!</v>
      </c>
      <c r="AD55" t="e">
        <f>AND(#REF!,"AAAAAHfX0h0=")</f>
        <v>#REF!</v>
      </c>
      <c r="AE55" t="e">
        <f>AND(#REF!,"AAAAAHfX0h4=")</f>
        <v>#REF!</v>
      </c>
      <c r="AF55" t="e">
        <f>AND(#REF!,"AAAAAHfX0h8=")</f>
        <v>#REF!</v>
      </c>
      <c r="AG55" t="e">
        <f>AND(#REF!,"AAAAAHfX0iA=")</f>
        <v>#REF!</v>
      </c>
      <c r="AH55" t="e">
        <f>AND(#REF!,"AAAAAHfX0iE=")</f>
        <v>#REF!</v>
      </c>
      <c r="AI55" t="e">
        <f>AND(#REF!,"AAAAAHfX0iI=")</f>
        <v>#REF!</v>
      </c>
      <c r="AJ55" t="e">
        <f>AND(#REF!,"AAAAAHfX0iM=")</f>
        <v>#REF!</v>
      </c>
      <c r="AK55" t="e">
        <f>AND(#REF!,"AAAAAHfX0iQ=")</f>
        <v>#REF!</v>
      </c>
      <c r="AL55" t="e">
        <f>AND(#REF!,"AAAAAHfX0iU=")</f>
        <v>#REF!</v>
      </c>
      <c r="AM55" t="e">
        <f>AND(#REF!,"AAAAAHfX0iY=")</f>
        <v>#REF!</v>
      </c>
      <c r="AN55" t="e">
        <f>AND(#REF!,"AAAAAHfX0ic=")</f>
        <v>#REF!</v>
      </c>
      <c r="AO55" t="e">
        <f>AND(#REF!,"AAAAAHfX0ig=")</f>
        <v>#REF!</v>
      </c>
      <c r="AP55" t="e">
        <f>AND(#REF!,"AAAAAHfX0ik=")</f>
        <v>#REF!</v>
      </c>
      <c r="AQ55" t="e">
        <f>AND(#REF!,"AAAAAHfX0io=")</f>
        <v>#REF!</v>
      </c>
      <c r="AR55" t="e">
        <f>AND(#REF!,"AAAAAHfX0is=")</f>
        <v>#REF!</v>
      </c>
      <c r="AS55" t="e">
        <f>AND(#REF!,"AAAAAHfX0iw=")</f>
        <v>#REF!</v>
      </c>
      <c r="AT55" t="e">
        <f>AND(#REF!,"AAAAAHfX0i0=")</f>
        <v>#REF!</v>
      </c>
      <c r="AU55" t="e">
        <f>AND(#REF!,"AAAAAHfX0i4=")</f>
        <v>#REF!</v>
      </c>
      <c r="AV55" t="e">
        <f>AND(#REF!,"AAAAAHfX0i8=")</f>
        <v>#REF!</v>
      </c>
      <c r="AW55" t="e">
        <f>AND(#REF!,"AAAAAHfX0jA=")</f>
        <v>#REF!</v>
      </c>
      <c r="AX55" t="e">
        <f>AND(#REF!,"AAAAAHfX0jE=")</f>
        <v>#REF!</v>
      </c>
      <c r="AY55" t="e">
        <f>AND(#REF!,"AAAAAHfX0jI=")</f>
        <v>#REF!</v>
      </c>
      <c r="AZ55" t="e">
        <f>AND(#REF!,"AAAAAHfX0jM=")</f>
        <v>#REF!</v>
      </c>
      <c r="BA55" t="e">
        <f>AND(#REF!,"AAAAAHfX0jQ=")</f>
        <v>#REF!</v>
      </c>
      <c r="BB55" t="e">
        <f>AND(#REF!,"AAAAAHfX0jU=")</f>
        <v>#REF!</v>
      </c>
      <c r="BC55" t="e">
        <f>AND(#REF!,"AAAAAHfX0jY=")</f>
        <v>#REF!</v>
      </c>
      <c r="BD55" t="e">
        <f>AND(#REF!,"AAAAAHfX0jc=")</f>
        <v>#REF!</v>
      </c>
      <c r="BE55" t="e">
        <f>AND(#REF!,"AAAAAHfX0jg=")</f>
        <v>#REF!</v>
      </c>
      <c r="BF55" t="e">
        <f>AND(#REF!,"AAAAAHfX0jk=")</f>
        <v>#REF!</v>
      </c>
      <c r="BG55" t="e">
        <f>IF(#REF!,"AAAAAHfX0jo=",0)</f>
        <v>#REF!</v>
      </c>
      <c r="BH55" t="e">
        <f>AND(#REF!,"AAAAAHfX0js=")</f>
        <v>#REF!</v>
      </c>
      <c r="BI55" t="e">
        <f>AND(#REF!,"AAAAAHfX0jw=")</f>
        <v>#REF!</v>
      </c>
      <c r="BJ55" t="e">
        <f>AND(#REF!,"AAAAAHfX0j0=")</f>
        <v>#REF!</v>
      </c>
      <c r="BK55" t="e">
        <f>AND(#REF!,"AAAAAHfX0j4=")</f>
        <v>#REF!</v>
      </c>
      <c r="BL55" t="e">
        <f>AND(#REF!,"AAAAAHfX0j8=")</f>
        <v>#REF!</v>
      </c>
      <c r="BM55" t="e">
        <f>AND(#REF!,"AAAAAHfX0kA=")</f>
        <v>#REF!</v>
      </c>
      <c r="BN55" t="e">
        <f>AND(#REF!,"AAAAAHfX0kE=")</f>
        <v>#REF!</v>
      </c>
      <c r="BO55" t="e">
        <f>AND(#REF!,"AAAAAHfX0kI=")</f>
        <v>#REF!</v>
      </c>
      <c r="BP55" t="e">
        <f>AND(#REF!,"AAAAAHfX0kM=")</f>
        <v>#REF!</v>
      </c>
      <c r="BQ55" t="e">
        <f>AND(#REF!,"AAAAAHfX0kQ=")</f>
        <v>#REF!</v>
      </c>
      <c r="BR55" t="e">
        <f>AND(#REF!,"AAAAAHfX0kU=")</f>
        <v>#REF!</v>
      </c>
      <c r="BS55" t="e">
        <f>AND(#REF!,"AAAAAHfX0kY=")</f>
        <v>#REF!</v>
      </c>
      <c r="BT55" t="e">
        <f>AND(#REF!,"AAAAAHfX0kc=")</f>
        <v>#REF!</v>
      </c>
      <c r="BU55" t="e">
        <f>AND(#REF!,"AAAAAHfX0kg=")</f>
        <v>#REF!</v>
      </c>
      <c r="BV55" t="e">
        <f>AND(#REF!,"AAAAAHfX0kk=")</f>
        <v>#REF!</v>
      </c>
      <c r="BW55" t="e">
        <f>AND(#REF!,"AAAAAHfX0ko=")</f>
        <v>#REF!</v>
      </c>
      <c r="BX55" t="e">
        <f>AND(#REF!,"AAAAAHfX0ks=")</f>
        <v>#REF!</v>
      </c>
      <c r="BY55" t="e">
        <f>AND(#REF!,"AAAAAHfX0kw=")</f>
        <v>#REF!</v>
      </c>
      <c r="BZ55" t="e">
        <f>AND(#REF!,"AAAAAHfX0k0=")</f>
        <v>#REF!</v>
      </c>
      <c r="CA55" t="e">
        <f>AND(#REF!,"AAAAAHfX0k4=")</f>
        <v>#REF!</v>
      </c>
      <c r="CB55" t="e">
        <f>AND(#REF!,"AAAAAHfX0k8=")</f>
        <v>#REF!</v>
      </c>
      <c r="CC55" t="e">
        <f>AND(#REF!,"AAAAAHfX0lA=")</f>
        <v>#REF!</v>
      </c>
      <c r="CD55" t="e">
        <f>AND(#REF!,"AAAAAHfX0lE=")</f>
        <v>#REF!</v>
      </c>
      <c r="CE55" t="e">
        <f>AND(#REF!,"AAAAAHfX0lI=")</f>
        <v>#REF!</v>
      </c>
      <c r="CF55" t="e">
        <f>AND(#REF!,"AAAAAHfX0lM=")</f>
        <v>#REF!</v>
      </c>
      <c r="CG55" t="e">
        <f>AND(#REF!,"AAAAAHfX0lQ=")</f>
        <v>#REF!</v>
      </c>
      <c r="CH55" t="e">
        <f>AND(#REF!,"AAAAAHfX0lU=")</f>
        <v>#REF!</v>
      </c>
      <c r="CI55" t="e">
        <f>AND(#REF!,"AAAAAHfX0lY=")</f>
        <v>#REF!</v>
      </c>
      <c r="CJ55" t="e">
        <f>AND(#REF!,"AAAAAHfX0lc=")</f>
        <v>#REF!</v>
      </c>
      <c r="CK55" t="e">
        <f>AND(#REF!,"AAAAAHfX0lg=")</f>
        <v>#REF!</v>
      </c>
      <c r="CL55" t="e">
        <f>AND(#REF!,"AAAAAHfX0lk=")</f>
        <v>#REF!</v>
      </c>
      <c r="CM55" t="e">
        <f>AND(#REF!,"AAAAAHfX0lo=")</f>
        <v>#REF!</v>
      </c>
      <c r="CN55" t="e">
        <f>AND(#REF!,"AAAAAHfX0ls=")</f>
        <v>#REF!</v>
      </c>
      <c r="CO55" t="e">
        <f>AND(#REF!,"AAAAAHfX0lw=")</f>
        <v>#REF!</v>
      </c>
      <c r="CP55" t="e">
        <f>AND(#REF!,"AAAAAHfX0l0=")</f>
        <v>#REF!</v>
      </c>
      <c r="CQ55" t="e">
        <f>AND(#REF!,"AAAAAHfX0l4=")</f>
        <v>#REF!</v>
      </c>
      <c r="CR55" t="e">
        <f>AND(#REF!,"AAAAAHfX0l8=")</f>
        <v>#REF!</v>
      </c>
      <c r="CS55" t="e">
        <f>AND(#REF!,"AAAAAHfX0mA=")</f>
        <v>#REF!</v>
      </c>
      <c r="CT55" t="e">
        <f>AND(#REF!,"AAAAAHfX0mE=")</f>
        <v>#REF!</v>
      </c>
      <c r="CU55" t="e">
        <f>AND(#REF!,"AAAAAHfX0mI=")</f>
        <v>#REF!</v>
      </c>
      <c r="CV55" t="e">
        <f>AND(#REF!,"AAAAAHfX0mM=")</f>
        <v>#REF!</v>
      </c>
      <c r="CW55" t="e">
        <f>AND(#REF!,"AAAAAHfX0mQ=")</f>
        <v>#REF!</v>
      </c>
      <c r="CX55" t="e">
        <f>AND(#REF!,"AAAAAHfX0mU=")</f>
        <v>#REF!</v>
      </c>
      <c r="CY55" t="e">
        <f>AND(#REF!,"AAAAAHfX0mY=")</f>
        <v>#REF!</v>
      </c>
      <c r="CZ55" t="e">
        <f>AND(#REF!,"AAAAAHfX0mc=")</f>
        <v>#REF!</v>
      </c>
      <c r="DA55" t="e">
        <f>AND(#REF!,"AAAAAHfX0mg=")</f>
        <v>#REF!</v>
      </c>
      <c r="DB55" t="e">
        <f>AND(#REF!,"AAAAAHfX0mk=")</f>
        <v>#REF!</v>
      </c>
      <c r="DC55" t="e">
        <f>AND(#REF!,"AAAAAHfX0mo=")</f>
        <v>#REF!</v>
      </c>
      <c r="DD55" t="e">
        <f>AND(#REF!,"AAAAAHfX0ms=")</f>
        <v>#REF!</v>
      </c>
      <c r="DE55" t="e">
        <f>AND(#REF!,"AAAAAHfX0mw=")</f>
        <v>#REF!</v>
      </c>
      <c r="DF55" t="e">
        <f>AND(#REF!,"AAAAAHfX0m0=")</f>
        <v>#REF!</v>
      </c>
      <c r="DG55" t="e">
        <f>AND(#REF!,"AAAAAHfX0m4=")</f>
        <v>#REF!</v>
      </c>
      <c r="DH55" t="e">
        <f>AND(#REF!,"AAAAAHfX0m8=")</f>
        <v>#REF!</v>
      </c>
      <c r="DI55" t="e">
        <f>AND(#REF!,"AAAAAHfX0nA=")</f>
        <v>#REF!</v>
      </c>
      <c r="DJ55" t="e">
        <f>AND(#REF!,"AAAAAHfX0nE=")</f>
        <v>#REF!</v>
      </c>
      <c r="DK55" t="e">
        <f>AND(#REF!,"AAAAAHfX0nI=")</f>
        <v>#REF!</v>
      </c>
      <c r="DL55" t="e">
        <f>AND(#REF!,"AAAAAHfX0nM=")</f>
        <v>#REF!</v>
      </c>
      <c r="DM55" t="e">
        <f>AND(#REF!,"AAAAAHfX0nQ=")</f>
        <v>#REF!</v>
      </c>
      <c r="DN55" t="e">
        <f>AND(#REF!,"AAAAAHfX0nU=")</f>
        <v>#REF!</v>
      </c>
      <c r="DO55" t="e">
        <f>AND(#REF!,"AAAAAHfX0nY=")</f>
        <v>#REF!</v>
      </c>
      <c r="DP55" t="e">
        <f>AND(#REF!,"AAAAAHfX0nc=")</f>
        <v>#REF!</v>
      </c>
      <c r="DQ55" t="e">
        <f>AND(#REF!,"AAAAAHfX0ng=")</f>
        <v>#REF!</v>
      </c>
      <c r="DR55" t="e">
        <f>AND(#REF!,"AAAAAHfX0nk=")</f>
        <v>#REF!</v>
      </c>
      <c r="DS55" t="e">
        <f>AND(#REF!,"AAAAAHfX0no=")</f>
        <v>#REF!</v>
      </c>
      <c r="DT55" t="e">
        <f>AND(#REF!,"AAAAAHfX0ns=")</f>
        <v>#REF!</v>
      </c>
      <c r="DU55" t="e">
        <f>AND(#REF!,"AAAAAHfX0nw=")</f>
        <v>#REF!</v>
      </c>
      <c r="DV55" t="e">
        <f>AND(#REF!,"AAAAAHfX0n0=")</f>
        <v>#REF!</v>
      </c>
      <c r="DW55" t="e">
        <f>AND(#REF!,"AAAAAHfX0n4=")</f>
        <v>#REF!</v>
      </c>
      <c r="DX55" t="e">
        <f>AND(#REF!,"AAAAAHfX0n8=")</f>
        <v>#REF!</v>
      </c>
      <c r="DY55" t="e">
        <f>AND(#REF!,"AAAAAHfX0oA=")</f>
        <v>#REF!</v>
      </c>
      <c r="DZ55" t="e">
        <f>AND(#REF!,"AAAAAHfX0oE=")</f>
        <v>#REF!</v>
      </c>
      <c r="EA55" t="e">
        <f>AND(#REF!,"AAAAAHfX0oI=")</f>
        <v>#REF!</v>
      </c>
      <c r="EB55" t="e">
        <f>AND(#REF!,"AAAAAHfX0oM=")</f>
        <v>#REF!</v>
      </c>
      <c r="EC55" t="e">
        <f>AND(#REF!,"AAAAAHfX0oQ=")</f>
        <v>#REF!</v>
      </c>
      <c r="ED55" t="e">
        <f>IF(#REF!,"AAAAAHfX0oU=",0)</f>
        <v>#REF!</v>
      </c>
      <c r="EE55" t="e">
        <f>AND(#REF!,"AAAAAHfX0oY=")</f>
        <v>#REF!</v>
      </c>
      <c r="EF55" t="e">
        <f>AND(#REF!,"AAAAAHfX0oc=")</f>
        <v>#REF!</v>
      </c>
      <c r="EG55" t="e">
        <f>AND(#REF!,"AAAAAHfX0og=")</f>
        <v>#REF!</v>
      </c>
      <c r="EH55" t="e">
        <f>AND(#REF!,"AAAAAHfX0ok=")</f>
        <v>#REF!</v>
      </c>
      <c r="EI55" t="e">
        <f>AND(#REF!,"AAAAAHfX0oo=")</f>
        <v>#REF!</v>
      </c>
      <c r="EJ55" t="e">
        <f>AND(#REF!,"AAAAAHfX0os=")</f>
        <v>#REF!</v>
      </c>
      <c r="EK55" t="e">
        <f>AND(#REF!,"AAAAAHfX0ow=")</f>
        <v>#REF!</v>
      </c>
      <c r="EL55" t="e">
        <f>AND(#REF!,"AAAAAHfX0o0=")</f>
        <v>#REF!</v>
      </c>
      <c r="EM55" t="e">
        <f>AND(#REF!,"AAAAAHfX0o4=")</f>
        <v>#REF!</v>
      </c>
      <c r="EN55" t="e">
        <f>AND(#REF!,"AAAAAHfX0o8=")</f>
        <v>#REF!</v>
      </c>
      <c r="EO55" t="e">
        <f>AND(#REF!,"AAAAAHfX0pA=")</f>
        <v>#REF!</v>
      </c>
      <c r="EP55" t="e">
        <f>AND(#REF!,"AAAAAHfX0pE=")</f>
        <v>#REF!</v>
      </c>
      <c r="EQ55" t="e">
        <f>AND(#REF!,"AAAAAHfX0pI=")</f>
        <v>#REF!</v>
      </c>
      <c r="ER55" t="e">
        <f>AND(#REF!,"AAAAAHfX0pM=")</f>
        <v>#REF!</v>
      </c>
      <c r="ES55" t="e">
        <f>AND(#REF!,"AAAAAHfX0pQ=")</f>
        <v>#REF!</v>
      </c>
      <c r="ET55" t="e">
        <f>AND(#REF!,"AAAAAHfX0pU=")</f>
        <v>#REF!</v>
      </c>
      <c r="EU55" t="e">
        <f>AND(#REF!,"AAAAAHfX0pY=")</f>
        <v>#REF!</v>
      </c>
      <c r="EV55" t="e">
        <f>AND(#REF!,"AAAAAHfX0pc=")</f>
        <v>#REF!</v>
      </c>
      <c r="EW55" t="e">
        <f>AND(#REF!,"AAAAAHfX0pg=")</f>
        <v>#REF!</v>
      </c>
      <c r="EX55" t="e">
        <f>AND(#REF!,"AAAAAHfX0pk=")</f>
        <v>#REF!</v>
      </c>
      <c r="EY55" t="e">
        <f>AND(#REF!,"AAAAAHfX0po=")</f>
        <v>#REF!</v>
      </c>
      <c r="EZ55" t="e">
        <f>AND(#REF!,"AAAAAHfX0ps=")</f>
        <v>#REF!</v>
      </c>
      <c r="FA55" t="e">
        <f>AND(#REF!,"AAAAAHfX0pw=")</f>
        <v>#REF!</v>
      </c>
      <c r="FB55" t="e">
        <f>AND(#REF!,"AAAAAHfX0p0=")</f>
        <v>#REF!</v>
      </c>
      <c r="FC55" t="e">
        <f>AND(#REF!,"AAAAAHfX0p4=")</f>
        <v>#REF!</v>
      </c>
      <c r="FD55" t="e">
        <f>AND(#REF!,"AAAAAHfX0p8=")</f>
        <v>#REF!</v>
      </c>
      <c r="FE55" t="e">
        <f>AND(#REF!,"AAAAAHfX0qA=")</f>
        <v>#REF!</v>
      </c>
      <c r="FF55" t="e">
        <f>AND(#REF!,"AAAAAHfX0qE=")</f>
        <v>#REF!</v>
      </c>
      <c r="FG55" t="e">
        <f>AND(#REF!,"AAAAAHfX0qI=")</f>
        <v>#REF!</v>
      </c>
      <c r="FH55" t="e">
        <f>AND(#REF!,"AAAAAHfX0qM=")</f>
        <v>#REF!</v>
      </c>
      <c r="FI55" t="e">
        <f>AND(#REF!,"AAAAAHfX0qQ=")</f>
        <v>#REF!</v>
      </c>
      <c r="FJ55" t="e">
        <f>AND(#REF!,"AAAAAHfX0qU=")</f>
        <v>#REF!</v>
      </c>
      <c r="FK55" t="e">
        <f>AND(#REF!,"AAAAAHfX0qY=")</f>
        <v>#REF!</v>
      </c>
      <c r="FL55" t="e">
        <f>AND(#REF!,"AAAAAHfX0qc=")</f>
        <v>#REF!</v>
      </c>
      <c r="FM55" t="e">
        <f>AND(#REF!,"AAAAAHfX0qg=")</f>
        <v>#REF!</v>
      </c>
      <c r="FN55" t="e">
        <f>AND(#REF!,"AAAAAHfX0qk=")</f>
        <v>#REF!</v>
      </c>
      <c r="FO55" t="e">
        <f>AND(#REF!,"AAAAAHfX0qo=")</f>
        <v>#REF!</v>
      </c>
      <c r="FP55" t="e">
        <f>AND(#REF!,"AAAAAHfX0qs=")</f>
        <v>#REF!</v>
      </c>
      <c r="FQ55" t="e">
        <f>AND(#REF!,"AAAAAHfX0qw=")</f>
        <v>#REF!</v>
      </c>
      <c r="FR55" t="e">
        <f>AND(#REF!,"AAAAAHfX0q0=")</f>
        <v>#REF!</v>
      </c>
      <c r="FS55" t="e">
        <f>AND(#REF!,"AAAAAHfX0q4=")</f>
        <v>#REF!</v>
      </c>
      <c r="FT55" t="e">
        <f>AND(#REF!,"AAAAAHfX0q8=")</f>
        <v>#REF!</v>
      </c>
      <c r="FU55" t="e">
        <f>AND(#REF!,"AAAAAHfX0rA=")</f>
        <v>#REF!</v>
      </c>
      <c r="FV55" t="e">
        <f>AND(#REF!,"AAAAAHfX0rE=")</f>
        <v>#REF!</v>
      </c>
      <c r="FW55" t="e">
        <f>AND(#REF!,"AAAAAHfX0rI=")</f>
        <v>#REF!</v>
      </c>
      <c r="FX55" t="e">
        <f>AND(#REF!,"AAAAAHfX0rM=")</f>
        <v>#REF!</v>
      </c>
      <c r="FY55" t="e">
        <f>AND(#REF!,"AAAAAHfX0rQ=")</f>
        <v>#REF!</v>
      </c>
      <c r="FZ55" t="e">
        <f>AND(#REF!,"AAAAAHfX0rU=")</f>
        <v>#REF!</v>
      </c>
      <c r="GA55" t="e">
        <f>AND(#REF!,"AAAAAHfX0rY=")</f>
        <v>#REF!</v>
      </c>
      <c r="GB55" t="e">
        <f>AND(#REF!,"AAAAAHfX0rc=")</f>
        <v>#REF!</v>
      </c>
      <c r="GC55" t="e">
        <f>AND(#REF!,"AAAAAHfX0rg=")</f>
        <v>#REF!</v>
      </c>
      <c r="GD55" t="e">
        <f>AND(#REF!,"AAAAAHfX0rk=")</f>
        <v>#REF!</v>
      </c>
      <c r="GE55" t="e">
        <f>AND(#REF!,"AAAAAHfX0ro=")</f>
        <v>#REF!</v>
      </c>
      <c r="GF55" t="e">
        <f>AND(#REF!,"AAAAAHfX0rs=")</f>
        <v>#REF!</v>
      </c>
      <c r="GG55" t="e">
        <f>AND(#REF!,"AAAAAHfX0rw=")</f>
        <v>#REF!</v>
      </c>
      <c r="GH55" t="e">
        <f>AND(#REF!,"AAAAAHfX0r0=")</f>
        <v>#REF!</v>
      </c>
      <c r="GI55" t="e">
        <f>AND(#REF!,"AAAAAHfX0r4=")</f>
        <v>#REF!</v>
      </c>
      <c r="GJ55" t="e">
        <f>AND(#REF!,"AAAAAHfX0r8=")</f>
        <v>#REF!</v>
      </c>
      <c r="GK55" t="e">
        <f>AND(#REF!,"AAAAAHfX0sA=")</f>
        <v>#REF!</v>
      </c>
      <c r="GL55" t="e">
        <f>AND(#REF!,"AAAAAHfX0sE=")</f>
        <v>#REF!</v>
      </c>
      <c r="GM55" t="e">
        <f>AND(#REF!,"AAAAAHfX0sI=")</f>
        <v>#REF!</v>
      </c>
      <c r="GN55" t="e">
        <f>AND(#REF!,"AAAAAHfX0sM=")</f>
        <v>#REF!</v>
      </c>
      <c r="GO55" t="e">
        <f>AND(#REF!,"AAAAAHfX0sQ=")</f>
        <v>#REF!</v>
      </c>
      <c r="GP55" t="e">
        <f>AND(#REF!,"AAAAAHfX0sU=")</f>
        <v>#REF!</v>
      </c>
      <c r="GQ55" t="e">
        <f>AND(#REF!,"AAAAAHfX0sY=")</f>
        <v>#REF!</v>
      </c>
      <c r="GR55" t="e">
        <f>AND(#REF!,"AAAAAHfX0sc=")</f>
        <v>#REF!</v>
      </c>
      <c r="GS55" t="e">
        <f>AND(#REF!,"AAAAAHfX0sg=")</f>
        <v>#REF!</v>
      </c>
      <c r="GT55" t="e">
        <f>AND(#REF!,"AAAAAHfX0sk=")</f>
        <v>#REF!</v>
      </c>
      <c r="GU55" t="e">
        <f>AND(#REF!,"AAAAAHfX0so=")</f>
        <v>#REF!</v>
      </c>
      <c r="GV55" t="e">
        <f>AND(#REF!,"AAAAAHfX0ss=")</f>
        <v>#REF!</v>
      </c>
      <c r="GW55" t="e">
        <f>AND(#REF!,"AAAAAHfX0sw=")</f>
        <v>#REF!</v>
      </c>
      <c r="GX55" t="e">
        <f>AND(#REF!,"AAAAAHfX0s0=")</f>
        <v>#REF!</v>
      </c>
      <c r="GY55" t="e">
        <f>AND(#REF!,"AAAAAHfX0s4=")</f>
        <v>#REF!</v>
      </c>
      <c r="GZ55" t="e">
        <f>AND(#REF!,"AAAAAHfX0s8=")</f>
        <v>#REF!</v>
      </c>
      <c r="HA55" t="e">
        <f>IF(#REF!,"AAAAAHfX0tA=",0)</f>
        <v>#REF!</v>
      </c>
      <c r="HB55" t="e">
        <f>AND(#REF!,"AAAAAHfX0tE=")</f>
        <v>#REF!</v>
      </c>
      <c r="HC55" t="e">
        <f>AND(#REF!,"AAAAAHfX0tI=")</f>
        <v>#REF!</v>
      </c>
      <c r="HD55" t="e">
        <f>AND(#REF!,"AAAAAHfX0tM=")</f>
        <v>#REF!</v>
      </c>
      <c r="HE55" t="e">
        <f>AND(#REF!,"AAAAAHfX0tQ=")</f>
        <v>#REF!</v>
      </c>
      <c r="HF55" t="e">
        <f>AND(#REF!,"AAAAAHfX0tU=")</f>
        <v>#REF!</v>
      </c>
      <c r="HG55" t="e">
        <f>AND(#REF!,"AAAAAHfX0tY=")</f>
        <v>#REF!</v>
      </c>
      <c r="HH55" t="e">
        <f>AND(#REF!,"AAAAAHfX0tc=")</f>
        <v>#REF!</v>
      </c>
      <c r="HI55" t="e">
        <f>AND(#REF!,"AAAAAHfX0tg=")</f>
        <v>#REF!</v>
      </c>
      <c r="HJ55" t="e">
        <f>AND(#REF!,"AAAAAHfX0tk=")</f>
        <v>#REF!</v>
      </c>
      <c r="HK55" t="e">
        <f>AND(#REF!,"AAAAAHfX0to=")</f>
        <v>#REF!</v>
      </c>
      <c r="HL55" t="e">
        <f>AND(#REF!,"AAAAAHfX0ts=")</f>
        <v>#REF!</v>
      </c>
      <c r="HM55" t="e">
        <f>AND(#REF!,"AAAAAHfX0tw=")</f>
        <v>#REF!</v>
      </c>
      <c r="HN55" t="e">
        <f>AND(#REF!,"AAAAAHfX0t0=")</f>
        <v>#REF!</v>
      </c>
      <c r="HO55" t="e">
        <f>AND(#REF!,"AAAAAHfX0t4=")</f>
        <v>#REF!</v>
      </c>
      <c r="HP55" t="e">
        <f>AND(#REF!,"AAAAAHfX0t8=")</f>
        <v>#REF!</v>
      </c>
      <c r="HQ55" t="e">
        <f>AND(#REF!,"AAAAAHfX0uA=")</f>
        <v>#REF!</v>
      </c>
      <c r="HR55" t="e">
        <f>AND(#REF!,"AAAAAHfX0uE=")</f>
        <v>#REF!</v>
      </c>
      <c r="HS55" t="e">
        <f>AND(#REF!,"AAAAAHfX0uI=")</f>
        <v>#REF!</v>
      </c>
      <c r="HT55" t="e">
        <f>AND(#REF!,"AAAAAHfX0uM=")</f>
        <v>#REF!</v>
      </c>
      <c r="HU55" t="e">
        <f>AND(#REF!,"AAAAAHfX0uQ=")</f>
        <v>#REF!</v>
      </c>
      <c r="HV55" t="e">
        <f>AND(#REF!,"AAAAAHfX0uU=")</f>
        <v>#REF!</v>
      </c>
      <c r="HW55" t="e">
        <f>AND(#REF!,"AAAAAHfX0uY=")</f>
        <v>#REF!</v>
      </c>
      <c r="HX55" t="e">
        <f>AND(#REF!,"AAAAAHfX0uc=")</f>
        <v>#REF!</v>
      </c>
      <c r="HY55" t="e">
        <f>AND(#REF!,"AAAAAHfX0ug=")</f>
        <v>#REF!</v>
      </c>
      <c r="HZ55" t="e">
        <f>AND(#REF!,"AAAAAHfX0uk=")</f>
        <v>#REF!</v>
      </c>
      <c r="IA55" t="e">
        <f>AND(#REF!,"AAAAAHfX0uo=")</f>
        <v>#REF!</v>
      </c>
      <c r="IB55" t="e">
        <f>AND(#REF!,"AAAAAHfX0us=")</f>
        <v>#REF!</v>
      </c>
      <c r="IC55" t="e">
        <f>AND(#REF!,"AAAAAHfX0uw=")</f>
        <v>#REF!</v>
      </c>
      <c r="ID55" t="e">
        <f>AND(#REF!,"AAAAAHfX0u0=")</f>
        <v>#REF!</v>
      </c>
      <c r="IE55" t="e">
        <f>AND(#REF!,"AAAAAHfX0u4=")</f>
        <v>#REF!</v>
      </c>
      <c r="IF55" t="e">
        <f>AND(#REF!,"AAAAAHfX0u8=")</f>
        <v>#REF!</v>
      </c>
      <c r="IG55" t="e">
        <f>AND(#REF!,"AAAAAHfX0vA=")</f>
        <v>#REF!</v>
      </c>
      <c r="IH55" t="e">
        <f>AND(#REF!,"AAAAAHfX0vE=")</f>
        <v>#REF!</v>
      </c>
      <c r="II55" t="e">
        <f>AND(#REF!,"AAAAAHfX0vI=")</f>
        <v>#REF!</v>
      </c>
      <c r="IJ55" t="e">
        <f>AND(#REF!,"AAAAAHfX0vM=")</f>
        <v>#REF!</v>
      </c>
      <c r="IK55" t="e">
        <f>AND(#REF!,"AAAAAHfX0vQ=")</f>
        <v>#REF!</v>
      </c>
      <c r="IL55" t="e">
        <f>AND(#REF!,"AAAAAHfX0vU=")</f>
        <v>#REF!</v>
      </c>
      <c r="IM55" t="e">
        <f>AND(#REF!,"AAAAAHfX0vY=")</f>
        <v>#REF!</v>
      </c>
      <c r="IN55" t="e">
        <f>AND(#REF!,"AAAAAHfX0vc=")</f>
        <v>#REF!</v>
      </c>
      <c r="IO55" t="e">
        <f>AND(#REF!,"AAAAAHfX0vg=")</f>
        <v>#REF!</v>
      </c>
      <c r="IP55" t="e">
        <f>AND(#REF!,"AAAAAHfX0vk=")</f>
        <v>#REF!</v>
      </c>
      <c r="IQ55" t="e">
        <f>AND(#REF!,"AAAAAHfX0vo=")</f>
        <v>#REF!</v>
      </c>
      <c r="IR55" t="e">
        <f>AND(#REF!,"AAAAAHfX0vs=")</f>
        <v>#REF!</v>
      </c>
      <c r="IS55" t="e">
        <f>AND(#REF!,"AAAAAHfX0vw=")</f>
        <v>#REF!</v>
      </c>
      <c r="IT55" t="e">
        <f>AND(#REF!,"AAAAAHfX0v0=")</f>
        <v>#REF!</v>
      </c>
      <c r="IU55" t="e">
        <f>AND(#REF!,"AAAAAHfX0v4=")</f>
        <v>#REF!</v>
      </c>
      <c r="IV55" t="e">
        <f>AND(#REF!,"AAAAAHfX0v8=")</f>
        <v>#REF!</v>
      </c>
    </row>
    <row r="56" spans="1:256" x14ac:dyDescent="0.2">
      <c r="A56" t="e">
        <f>AND(#REF!,"AAAAAClv0QA=")</f>
        <v>#REF!</v>
      </c>
      <c r="B56" t="e">
        <f>AND(#REF!,"AAAAAClv0QE=")</f>
        <v>#REF!</v>
      </c>
      <c r="C56" t="e">
        <f>AND(#REF!,"AAAAAClv0QI=")</f>
        <v>#REF!</v>
      </c>
      <c r="D56" t="e">
        <f>AND(#REF!,"AAAAAClv0QM=")</f>
        <v>#REF!</v>
      </c>
      <c r="E56" t="e">
        <f>AND(#REF!,"AAAAAClv0QQ=")</f>
        <v>#REF!</v>
      </c>
      <c r="F56" t="e">
        <f>AND(#REF!,"AAAAAClv0QU=")</f>
        <v>#REF!</v>
      </c>
      <c r="G56" t="e">
        <f>AND(#REF!,"AAAAAClv0QY=")</f>
        <v>#REF!</v>
      </c>
      <c r="H56" t="e">
        <f>AND(#REF!,"AAAAAClv0Qc=")</f>
        <v>#REF!</v>
      </c>
      <c r="I56" t="e">
        <f>AND(#REF!,"AAAAAClv0Qg=")</f>
        <v>#REF!</v>
      </c>
      <c r="J56" t="e">
        <f>AND(#REF!,"AAAAAClv0Qk=")</f>
        <v>#REF!</v>
      </c>
      <c r="K56" t="e">
        <f>AND(#REF!,"AAAAAClv0Qo=")</f>
        <v>#REF!</v>
      </c>
      <c r="L56" t="e">
        <f>AND(#REF!,"AAAAAClv0Qs=")</f>
        <v>#REF!</v>
      </c>
      <c r="M56" t="e">
        <f>AND(#REF!,"AAAAAClv0Qw=")</f>
        <v>#REF!</v>
      </c>
      <c r="N56" t="e">
        <f>AND(#REF!,"AAAAAClv0Q0=")</f>
        <v>#REF!</v>
      </c>
      <c r="O56" t="e">
        <f>AND(#REF!,"AAAAAClv0Q4=")</f>
        <v>#REF!</v>
      </c>
      <c r="P56" t="e">
        <f>AND(#REF!,"AAAAAClv0Q8=")</f>
        <v>#REF!</v>
      </c>
      <c r="Q56" t="e">
        <f>AND(#REF!,"AAAAAClv0RA=")</f>
        <v>#REF!</v>
      </c>
      <c r="R56" t="e">
        <f>AND(#REF!,"AAAAAClv0RE=")</f>
        <v>#REF!</v>
      </c>
      <c r="S56" t="e">
        <f>AND(#REF!,"AAAAAClv0RI=")</f>
        <v>#REF!</v>
      </c>
      <c r="T56" t="e">
        <f>AND(#REF!,"AAAAAClv0RM=")</f>
        <v>#REF!</v>
      </c>
      <c r="U56" t="e">
        <f>AND(#REF!,"AAAAAClv0RQ=")</f>
        <v>#REF!</v>
      </c>
      <c r="V56" t="e">
        <f>AND(#REF!,"AAAAAClv0RU=")</f>
        <v>#REF!</v>
      </c>
      <c r="W56" t="e">
        <f>AND(#REF!,"AAAAAClv0RY=")</f>
        <v>#REF!</v>
      </c>
      <c r="X56" t="e">
        <f>AND(#REF!,"AAAAAClv0Rc=")</f>
        <v>#REF!</v>
      </c>
      <c r="Y56" t="e">
        <f>AND(#REF!,"AAAAAClv0Rg=")</f>
        <v>#REF!</v>
      </c>
      <c r="Z56" t="e">
        <f>AND(#REF!,"AAAAAClv0Rk=")</f>
        <v>#REF!</v>
      </c>
      <c r="AA56" t="e">
        <f>AND(#REF!,"AAAAAClv0Ro=")</f>
        <v>#REF!</v>
      </c>
      <c r="AB56" t="e">
        <f>IF(#REF!,"AAAAAClv0Rs=",0)</f>
        <v>#REF!</v>
      </c>
      <c r="AC56" t="e">
        <f>AND(#REF!,"AAAAAClv0Rw=")</f>
        <v>#REF!</v>
      </c>
      <c r="AD56" t="e">
        <f>AND(#REF!,"AAAAAClv0R0=")</f>
        <v>#REF!</v>
      </c>
      <c r="AE56" t="e">
        <f>AND(#REF!,"AAAAAClv0R4=")</f>
        <v>#REF!</v>
      </c>
      <c r="AF56" t="e">
        <f>AND(#REF!,"AAAAAClv0R8=")</f>
        <v>#REF!</v>
      </c>
      <c r="AG56" t="e">
        <f>AND(#REF!,"AAAAAClv0SA=")</f>
        <v>#REF!</v>
      </c>
      <c r="AH56" t="e">
        <f>AND(#REF!,"AAAAAClv0SE=")</f>
        <v>#REF!</v>
      </c>
      <c r="AI56" t="e">
        <f>AND(#REF!,"AAAAAClv0SI=")</f>
        <v>#REF!</v>
      </c>
      <c r="AJ56" t="e">
        <f>AND(#REF!,"AAAAAClv0SM=")</f>
        <v>#REF!</v>
      </c>
      <c r="AK56" t="e">
        <f>AND(#REF!,"AAAAAClv0SQ=")</f>
        <v>#REF!</v>
      </c>
      <c r="AL56" t="e">
        <f>AND(#REF!,"AAAAAClv0SU=")</f>
        <v>#REF!</v>
      </c>
      <c r="AM56" t="e">
        <f>AND(#REF!,"AAAAAClv0SY=")</f>
        <v>#REF!</v>
      </c>
      <c r="AN56" t="e">
        <f>AND(#REF!,"AAAAAClv0Sc=")</f>
        <v>#REF!</v>
      </c>
      <c r="AO56" t="e">
        <f>AND(#REF!,"AAAAAClv0Sg=")</f>
        <v>#REF!</v>
      </c>
      <c r="AP56" t="e">
        <f>AND(#REF!,"AAAAAClv0Sk=")</f>
        <v>#REF!</v>
      </c>
      <c r="AQ56" t="e">
        <f>AND(#REF!,"AAAAAClv0So=")</f>
        <v>#REF!</v>
      </c>
      <c r="AR56" t="e">
        <f>AND(#REF!,"AAAAAClv0Ss=")</f>
        <v>#REF!</v>
      </c>
      <c r="AS56" t="e">
        <f>AND(#REF!,"AAAAAClv0Sw=")</f>
        <v>#REF!</v>
      </c>
      <c r="AT56" t="e">
        <f>AND(#REF!,"AAAAAClv0S0=")</f>
        <v>#REF!</v>
      </c>
      <c r="AU56" t="e">
        <f>AND(#REF!,"AAAAAClv0S4=")</f>
        <v>#REF!</v>
      </c>
      <c r="AV56" t="e">
        <f>AND(#REF!,"AAAAAClv0S8=")</f>
        <v>#REF!</v>
      </c>
      <c r="AW56" t="e">
        <f>AND(#REF!,"AAAAAClv0TA=")</f>
        <v>#REF!</v>
      </c>
      <c r="AX56" t="e">
        <f>AND(#REF!,"AAAAAClv0TE=")</f>
        <v>#REF!</v>
      </c>
      <c r="AY56" t="e">
        <f>AND(#REF!,"AAAAAClv0TI=")</f>
        <v>#REF!</v>
      </c>
      <c r="AZ56" t="e">
        <f>AND(#REF!,"AAAAAClv0TM=")</f>
        <v>#REF!</v>
      </c>
      <c r="BA56" t="e">
        <f>AND(#REF!,"AAAAAClv0TQ=")</f>
        <v>#REF!</v>
      </c>
      <c r="BB56" t="e">
        <f>AND(#REF!,"AAAAAClv0TU=")</f>
        <v>#REF!</v>
      </c>
      <c r="BC56" t="e">
        <f>AND(#REF!,"AAAAAClv0TY=")</f>
        <v>#REF!</v>
      </c>
      <c r="BD56" t="e">
        <f>AND(#REF!,"AAAAAClv0Tc=")</f>
        <v>#REF!</v>
      </c>
      <c r="BE56" t="e">
        <f>AND(#REF!,"AAAAAClv0Tg=")</f>
        <v>#REF!</v>
      </c>
      <c r="BF56" t="e">
        <f>AND(#REF!,"AAAAAClv0Tk=")</f>
        <v>#REF!</v>
      </c>
      <c r="BG56" t="e">
        <f>AND(#REF!,"AAAAAClv0To=")</f>
        <v>#REF!</v>
      </c>
      <c r="BH56" t="e">
        <f>AND(#REF!,"AAAAAClv0Ts=")</f>
        <v>#REF!</v>
      </c>
      <c r="BI56" t="e">
        <f>AND(#REF!,"AAAAAClv0Tw=")</f>
        <v>#REF!</v>
      </c>
      <c r="BJ56" t="e">
        <f>AND(#REF!,"AAAAAClv0T0=")</f>
        <v>#REF!</v>
      </c>
      <c r="BK56" t="e">
        <f>AND(#REF!,"AAAAAClv0T4=")</f>
        <v>#REF!</v>
      </c>
      <c r="BL56" t="e">
        <f>AND(#REF!,"AAAAAClv0T8=")</f>
        <v>#REF!</v>
      </c>
      <c r="BM56" t="e">
        <f>AND(#REF!,"AAAAAClv0UA=")</f>
        <v>#REF!</v>
      </c>
      <c r="BN56" t="e">
        <f>AND(#REF!,"AAAAAClv0UE=")</f>
        <v>#REF!</v>
      </c>
      <c r="BO56" t="e">
        <f>AND(#REF!,"AAAAAClv0UI=")</f>
        <v>#REF!</v>
      </c>
      <c r="BP56" t="e">
        <f>AND(#REF!,"AAAAAClv0UM=")</f>
        <v>#REF!</v>
      </c>
      <c r="BQ56" t="e">
        <f>AND(#REF!,"AAAAAClv0UQ=")</f>
        <v>#REF!</v>
      </c>
      <c r="BR56" t="e">
        <f>AND(#REF!,"AAAAAClv0UU=")</f>
        <v>#REF!</v>
      </c>
      <c r="BS56" t="e">
        <f>AND(#REF!,"AAAAAClv0UY=")</f>
        <v>#REF!</v>
      </c>
      <c r="BT56" t="e">
        <f>AND(#REF!,"AAAAAClv0Uc=")</f>
        <v>#REF!</v>
      </c>
      <c r="BU56" t="e">
        <f>AND(#REF!,"AAAAAClv0Ug=")</f>
        <v>#REF!</v>
      </c>
      <c r="BV56" t="e">
        <f>AND(#REF!,"AAAAAClv0Uk=")</f>
        <v>#REF!</v>
      </c>
      <c r="BW56" t="e">
        <f>AND(#REF!,"AAAAAClv0Uo=")</f>
        <v>#REF!</v>
      </c>
      <c r="BX56" t="e">
        <f>AND(#REF!,"AAAAAClv0Us=")</f>
        <v>#REF!</v>
      </c>
      <c r="BY56" t="e">
        <f>AND(#REF!,"AAAAAClv0Uw=")</f>
        <v>#REF!</v>
      </c>
      <c r="BZ56" t="e">
        <f>AND(#REF!,"AAAAAClv0U0=")</f>
        <v>#REF!</v>
      </c>
      <c r="CA56" t="e">
        <f>AND(#REF!,"AAAAAClv0U4=")</f>
        <v>#REF!</v>
      </c>
      <c r="CB56" t="e">
        <f>AND(#REF!,"AAAAAClv0U8=")</f>
        <v>#REF!</v>
      </c>
      <c r="CC56" t="e">
        <f>AND(#REF!,"AAAAAClv0VA=")</f>
        <v>#REF!</v>
      </c>
      <c r="CD56" t="e">
        <f>AND(#REF!,"AAAAAClv0VE=")</f>
        <v>#REF!</v>
      </c>
      <c r="CE56" t="e">
        <f>AND(#REF!,"AAAAAClv0VI=")</f>
        <v>#REF!</v>
      </c>
      <c r="CF56" t="e">
        <f>AND(#REF!,"AAAAAClv0VM=")</f>
        <v>#REF!</v>
      </c>
      <c r="CG56" t="e">
        <f>AND(#REF!,"AAAAAClv0VQ=")</f>
        <v>#REF!</v>
      </c>
      <c r="CH56" t="e">
        <f>AND(#REF!,"AAAAAClv0VU=")</f>
        <v>#REF!</v>
      </c>
      <c r="CI56" t="e">
        <f>AND(#REF!,"AAAAAClv0VY=")</f>
        <v>#REF!</v>
      </c>
      <c r="CJ56" t="e">
        <f>AND(#REF!,"AAAAAClv0Vc=")</f>
        <v>#REF!</v>
      </c>
      <c r="CK56" t="e">
        <f>AND(#REF!,"AAAAAClv0Vg=")</f>
        <v>#REF!</v>
      </c>
      <c r="CL56" t="e">
        <f>AND(#REF!,"AAAAAClv0Vk=")</f>
        <v>#REF!</v>
      </c>
      <c r="CM56" t="e">
        <f>AND(#REF!,"AAAAAClv0Vo=")</f>
        <v>#REF!</v>
      </c>
      <c r="CN56" t="e">
        <f>AND(#REF!,"AAAAAClv0Vs=")</f>
        <v>#REF!</v>
      </c>
      <c r="CO56" t="e">
        <f>AND(#REF!,"AAAAAClv0Vw=")</f>
        <v>#REF!</v>
      </c>
      <c r="CP56" t="e">
        <f>AND(#REF!,"AAAAAClv0V0=")</f>
        <v>#REF!</v>
      </c>
      <c r="CQ56" t="e">
        <f>AND(#REF!,"AAAAAClv0V4=")</f>
        <v>#REF!</v>
      </c>
      <c r="CR56" t="e">
        <f>AND(#REF!,"AAAAAClv0V8=")</f>
        <v>#REF!</v>
      </c>
      <c r="CS56" t="e">
        <f>AND(#REF!,"AAAAAClv0WA=")</f>
        <v>#REF!</v>
      </c>
      <c r="CT56" t="e">
        <f>AND(#REF!,"AAAAAClv0WE=")</f>
        <v>#REF!</v>
      </c>
      <c r="CU56" t="e">
        <f>AND(#REF!,"AAAAAClv0WI=")</f>
        <v>#REF!</v>
      </c>
      <c r="CV56" t="e">
        <f>AND(#REF!,"AAAAAClv0WM=")</f>
        <v>#REF!</v>
      </c>
      <c r="CW56" t="e">
        <f>AND(#REF!,"AAAAAClv0WQ=")</f>
        <v>#REF!</v>
      </c>
      <c r="CX56" t="e">
        <f>AND(#REF!,"AAAAAClv0WU=")</f>
        <v>#REF!</v>
      </c>
      <c r="CY56" t="e">
        <f>IF(#REF!,"AAAAAClv0WY=",0)</f>
        <v>#REF!</v>
      </c>
      <c r="CZ56" t="e">
        <f>AND(#REF!,"AAAAAClv0Wc=")</f>
        <v>#REF!</v>
      </c>
      <c r="DA56" t="e">
        <f>AND(#REF!,"AAAAAClv0Wg=")</f>
        <v>#REF!</v>
      </c>
      <c r="DB56" t="e">
        <f>AND(#REF!,"AAAAAClv0Wk=")</f>
        <v>#REF!</v>
      </c>
      <c r="DC56" t="e">
        <f>AND(#REF!,"AAAAAClv0Wo=")</f>
        <v>#REF!</v>
      </c>
      <c r="DD56" t="e">
        <f>AND(#REF!,"AAAAAClv0Ws=")</f>
        <v>#REF!</v>
      </c>
      <c r="DE56" t="e">
        <f>AND(#REF!,"AAAAAClv0Ww=")</f>
        <v>#REF!</v>
      </c>
      <c r="DF56" t="e">
        <f>AND(#REF!,"AAAAAClv0W0=")</f>
        <v>#REF!</v>
      </c>
      <c r="DG56" t="e">
        <f>AND(#REF!,"AAAAAClv0W4=")</f>
        <v>#REF!</v>
      </c>
      <c r="DH56" t="e">
        <f>AND(#REF!,"AAAAAClv0W8=")</f>
        <v>#REF!</v>
      </c>
      <c r="DI56" t="e">
        <f>AND(#REF!,"AAAAAClv0XA=")</f>
        <v>#REF!</v>
      </c>
      <c r="DJ56" t="e">
        <f>AND(#REF!,"AAAAAClv0XE=")</f>
        <v>#REF!</v>
      </c>
      <c r="DK56" t="e">
        <f>AND(#REF!,"AAAAAClv0XI=")</f>
        <v>#REF!</v>
      </c>
      <c r="DL56" t="e">
        <f>AND(#REF!,"AAAAAClv0XM=")</f>
        <v>#REF!</v>
      </c>
      <c r="DM56" t="e">
        <f>AND(#REF!,"AAAAAClv0XQ=")</f>
        <v>#REF!</v>
      </c>
      <c r="DN56" t="e">
        <f>AND(#REF!,"AAAAAClv0XU=")</f>
        <v>#REF!</v>
      </c>
      <c r="DO56" t="e">
        <f>AND(#REF!,"AAAAAClv0XY=")</f>
        <v>#REF!</v>
      </c>
      <c r="DP56" t="e">
        <f>AND(#REF!,"AAAAAClv0Xc=")</f>
        <v>#REF!</v>
      </c>
      <c r="DQ56" t="e">
        <f>AND(#REF!,"AAAAAClv0Xg=")</f>
        <v>#REF!</v>
      </c>
      <c r="DR56" t="e">
        <f>AND(#REF!,"AAAAAClv0Xk=")</f>
        <v>#REF!</v>
      </c>
      <c r="DS56" t="e">
        <f>AND(#REF!,"AAAAAClv0Xo=")</f>
        <v>#REF!</v>
      </c>
      <c r="DT56" t="e">
        <f>AND(#REF!,"AAAAAClv0Xs=")</f>
        <v>#REF!</v>
      </c>
      <c r="DU56" t="e">
        <f>AND(#REF!,"AAAAAClv0Xw=")</f>
        <v>#REF!</v>
      </c>
      <c r="DV56" t="e">
        <f>AND(#REF!,"AAAAAClv0X0=")</f>
        <v>#REF!</v>
      </c>
      <c r="DW56" t="e">
        <f>AND(#REF!,"AAAAAClv0X4=")</f>
        <v>#REF!</v>
      </c>
      <c r="DX56" t="e">
        <f>AND(#REF!,"AAAAAClv0X8=")</f>
        <v>#REF!</v>
      </c>
      <c r="DY56" t="e">
        <f>AND(#REF!,"AAAAAClv0YA=")</f>
        <v>#REF!</v>
      </c>
      <c r="DZ56" t="e">
        <f>AND(#REF!,"AAAAAClv0YE=")</f>
        <v>#REF!</v>
      </c>
      <c r="EA56" t="e">
        <f>AND(#REF!,"AAAAAClv0YI=")</f>
        <v>#REF!</v>
      </c>
      <c r="EB56" t="e">
        <f>AND(#REF!,"AAAAAClv0YM=")</f>
        <v>#REF!</v>
      </c>
      <c r="EC56" t="e">
        <f>AND(#REF!,"AAAAAClv0YQ=")</f>
        <v>#REF!</v>
      </c>
      <c r="ED56" t="e">
        <f>AND(#REF!,"AAAAAClv0YU=")</f>
        <v>#REF!</v>
      </c>
      <c r="EE56" t="e">
        <f>AND(#REF!,"AAAAAClv0YY=")</f>
        <v>#REF!</v>
      </c>
      <c r="EF56" t="e">
        <f>AND(#REF!,"AAAAAClv0Yc=")</f>
        <v>#REF!</v>
      </c>
      <c r="EG56" t="e">
        <f>AND(#REF!,"AAAAAClv0Yg=")</f>
        <v>#REF!</v>
      </c>
      <c r="EH56" t="e">
        <f>AND(#REF!,"AAAAAClv0Yk=")</f>
        <v>#REF!</v>
      </c>
      <c r="EI56" t="e">
        <f>AND(#REF!,"AAAAAClv0Yo=")</f>
        <v>#REF!</v>
      </c>
      <c r="EJ56" t="e">
        <f>AND(#REF!,"AAAAAClv0Ys=")</f>
        <v>#REF!</v>
      </c>
      <c r="EK56" t="e">
        <f>AND(#REF!,"AAAAAClv0Yw=")</f>
        <v>#REF!</v>
      </c>
      <c r="EL56" t="e">
        <f>AND(#REF!,"AAAAAClv0Y0=")</f>
        <v>#REF!</v>
      </c>
      <c r="EM56" t="e">
        <f>AND(#REF!,"AAAAAClv0Y4=")</f>
        <v>#REF!</v>
      </c>
      <c r="EN56" t="e">
        <f>AND(#REF!,"AAAAAClv0Y8=")</f>
        <v>#REF!</v>
      </c>
      <c r="EO56" t="e">
        <f>AND(#REF!,"AAAAAClv0ZA=")</f>
        <v>#REF!</v>
      </c>
      <c r="EP56" t="e">
        <f>AND(#REF!,"AAAAAClv0ZE=")</f>
        <v>#REF!</v>
      </c>
      <c r="EQ56" t="e">
        <f>AND(#REF!,"AAAAAClv0ZI=")</f>
        <v>#REF!</v>
      </c>
      <c r="ER56" t="e">
        <f>AND(#REF!,"AAAAAClv0ZM=")</f>
        <v>#REF!</v>
      </c>
      <c r="ES56" t="e">
        <f>AND(#REF!,"AAAAAClv0ZQ=")</f>
        <v>#REF!</v>
      </c>
      <c r="ET56" t="e">
        <f>AND(#REF!,"AAAAAClv0ZU=")</f>
        <v>#REF!</v>
      </c>
      <c r="EU56" t="e">
        <f>AND(#REF!,"AAAAAClv0ZY=")</f>
        <v>#REF!</v>
      </c>
      <c r="EV56" t="e">
        <f>AND(#REF!,"AAAAAClv0Zc=")</f>
        <v>#REF!</v>
      </c>
      <c r="EW56" t="e">
        <f>AND(#REF!,"AAAAAClv0Zg=")</f>
        <v>#REF!</v>
      </c>
      <c r="EX56" t="e">
        <f>AND(#REF!,"AAAAAClv0Zk=")</f>
        <v>#REF!</v>
      </c>
      <c r="EY56" t="e">
        <f>AND(#REF!,"AAAAAClv0Zo=")</f>
        <v>#REF!</v>
      </c>
      <c r="EZ56" t="e">
        <f>AND(#REF!,"AAAAAClv0Zs=")</f>
        <v>#REF!</v>
      </c>
      <c r="FA56" t="e">
        <f>AND(#REF!,"AAAAAClv0Zw=")</f>
        <v>#REF!</v>
      </c>
      <c r="FB56" t="e">
        <f>AND(#REF!,"AAAAAClv0Z0=")</f>
        <v>#REF!</v>
      </c>
      <c r="FC56" t="e">
        <f>AND(#REF!,"AAAAAClv0Z4=")</f>
        <v>#REF!</v>
      </c>
      <c r="FD56" t="e">
        <f>AND(#REF!,"AAAAAClv0Z8=")</f>
        <v>#REF!</v>
      </c>
      <c r="FE56" t="e">
        <f>AND(#REF!,"AAAAAClv0aA=")</f>
        <v>#REF!</v>
      </c>
      <c r="FF56" t="e">
        <f>AND(#REF!,"AAAAAClv0aE=")</f>
        <v>#REF!</v>
      </c>
      <c r="FG56" t="e">
        <f>AND(#REF!,"AAAAAClv0aI=")</f>
        <v>#REF!</v>
      </c>
      <c r="FH56" t="e">
        <f>AND(#REF!,"AAAAAClv0aM=")</f>
        <v>#REF!</v>
      </c>
      <c r="FI56" t="e">
        <f>AND(#REF!,"AAAAAClv0aQ=")</f>
        <v>#REF!</v>
      </c>
      <c r="FJ56" t="e">
        <f>AND(#REF!,"AAAAAClv0aU=")</f>
        <v>#REF!</v>
      </c>
      <c r="FK56" t="e">
        <f>AND(#REF!,"AAAAAClv0aY=")</f>
        <v>#REF!</v>
      </c>
      <c r="FL56" t="e">
        <f>AND(#REF!,"AAAAAClv0ac=")</f>
        <v>#REF!</v>
      </c>
      <c r="FM56" t="e">
        <f>AND(#REF!,"AAAAAClv0ag=")</f>
        <v>#REF!</v>
      </c>
      <c r="FN56" t="e">
        <f>AND(#REF!,"AAAAAClv0ak=")</f>
        <v>#REF!</v>
      </c>
      <c r="FO56" t="e">
        <f>AND(#REF!,"AAAAAClv0ao=")</f>
        <v>#REF!</v>
      </c>
      <c r="FP56" t="e">
        <f>AND(#REF!,"AAAAAClv0as=")</f>
        <v>#REF!</v>
      </c>
      <c r="FQ56" t="e">
        <f>AND(#REF!,"AAAAAClv0aw=")</f>
        <v>#REF!</v>
      </c>
      <c r="FR56" t="e">
        <f>AND(#REF!,"AAAAAClv0a0=")</f>
        <v>#REF!</v>
      </c>
      <c r="FS56" t="e">
        <f>AND(#REF!,"AAAAAClv0a4=")</f>
        <v>#REF!</v>
      </c>
      <c r="FT56" t="e">
        <f>AND(#REF!,"AAAAAClv0a8=")</f>
        <v>#REF!</v>
      </c>
      <c r="FU56" t="e">
        <f>AND(#REF!,"AAAAAClv0bA=")</f>
        <v>#REF!</v>
      </c>
      <c r="FV56" t="e">
        <f>IF(#REF!,"AAAAAClv0bE=",0)</f>
        <v>#REF!</v>
      </c>
      <c r="FW56" t="e">
        <f>AND(#REF!,"AAAAAClv0bI=")</f>
        <v>#REF!</v>
      </c>
      <c r="FX56" t="e">
        <f>AND(#REF!,"AAAAAClv0bM=")</f>
        <v>#REF!</v>
      </c>
      <c r="FY56" t="e">
        <f>AND(#REF!,"AAAAAClv0bQ=")</f>
        <v>#REF!</v>
      </c>
      <c r="FZ56" t="e">
        <f>AND(#REF!,"AAAAAClv0bU=")</f>
        <v>#REF!</v>
      </c>
      <c r="GA56" t="e">
        <f>AND(#REF!,"AAAAAClv0bY=")</f>
        <v>#REF!</v>
      </c>
      <c r="GB56" t="e">
        <f>AND(#REF!,"AAAAAClv0bc=")</f>
        <v>#REF!</v>
      </c>
      <c r="GC56" t="e">
        <f>AND(#REF!,"AAAAAClv0bg=")</f>
        <v>#REF!</v>
      </c>
      <c r="GD56" t="e">
        <f>AND(#REF!,"AAAAAClv0bk=")</f>
        <v>#REF!</v>
      </c>
      <c r="GE56" t="e">
        <f>AND(#REF!,"AAAAAClv0bo=")</f>
        <v>#REF!</v>
      </c>
      <c r="GF56" t="e">
        <f>AND(#REF!,"AAAAAClv0bs=")</f>
        <v>#REF!</v>
      </c>
      <c r="GG56" t="e">
        <f>AND(#REF!,"AAAAAClv0bw=")</f>
        <v>#REF!</v>
      </c>
      <c r="GH56" t="e">
        <f>AND(#REF!,"AAAAAClv0b0=")</f>
        <v>#REF!</v>
      </c>
      <c r="GI56" t="e">
        <f>AND(#REF!,"AAAAAClv0b4=")</f>
        <v>#REF!</v>
      </c>
      <c r="GJ56" t="e">
        <f>AND(#REF!,"AAAAAClv0b8=")</f>
        <v>#REF!</v>
      </c>
      <c r="GK56" t="e">
        <f>AND(#REF!,"AAAAAClv0cA=")</f>
        <v>#REF!</v>
      </c>
      <c r="GL56" t="e">
        <f>AND(#REF!,"AAAAAClv0cE=")</f>
        <v>#REF!</v>
      </c>
      <c r="GM56" t="e">
        <f>AND(#REF!,"AAAAAClv0cI=")</f>
        <v>#REF!</v>
      </c>
      <c r="GN56" t="e">
        <f>AND(#REF!,"AAAAAClv0cM=")</f>
        <v>#REF!</v>
      </c>
      <c r="GO56" t="e">
        <f>AND(#REF!,"AAAAAClv0cQ=")</f>
        <v>#REF!</v>
      </c>
      <c r="GP56" t="e">
        <f>AND(#REF!,"AAAAAClv0cU=")</f>
        <v>#REF!</v>
      </c>
      <c r="GQ56" t="e">
        <f>AND(#REF!,"AAAAAClv0cY=")</f>
        <v>#REF!</v>
      </c>
      <c r="GR56" t="e">
        <f>AND(#REF!,"AAAAAClv0cc=")</f>
        <v>#REF!</v>
      </c>
      <c r="GS56" t="e">
        <f>AND(#REF!,"AAAAAClv0cg=")</f>
        <v>#REF!</v>
      </c>
      <c r="GT56" t="e">
        <f>AND(#REF!,"AAAAAClv0ck=")</f>
        <v>#REF!</v>
      </c>
      <c r="GU56" t="e">
        <f>AND(#REF!,"AAAAAClv0co=")</f>
        <v>#REF!</v>
      </c>
      <c r="GV56" t="e">
        <f>AND(#REF!,"AAAAAClv0cs=")</f>
        <v>#REF!</v>
      </c>
      <c r="GW56" t="e">
        <f>AND(#REF!,"AAAAAClv0cw=")</f>
        <v>#REF!</v>
      </c>
      <c r="GX56" t="e">
        <f>AND(#REF!,"AAAAAClv0c0=")</f>
        <v>#REF!</v>
      </c>
      <c r="GY56" t="e">
        <f>AND(#REF!,"AAAAAClv0c4=")</f>
        <v>#REF!</v>
      </c>
      <c r="GZ56" t="e">
        <f>AND(#REF!,"AAAAAClv0c8=")</f>
        <v>#REF!</v>
      </c>
      <c r="HA56" t="e">
        <f>AND(#REF!,"AAAAAClv0dA=")</f>
        <v>#REF!</v>
      </c>
      <c r="HB56" t="e">
        <f>AND(#REF!,"AAAAAClv0dE=")</f>
        <v>#REF!</v>
      </c>
      <c r="HC56" t="e">
        <f>AND(#REF!,"AAAAAClv0dI=")</f>
        <v>#REF!</v>
      </c>
      <c r="HD56" t="e">
        <f>AND(#REF!,"AAAAAClv0dM=")</f>
        <v>#REF!</v>
      </c>
      <c r="HE56" t="e">
        <f>AND(#REF!,"AAAAAClv0dQ=")</f>
        <v>#REF!</v>
      </c>
      <c r="HF56" t="e">
        <f>AND(#REF!,"AAAAAClv0dU=")</f>
        <v>#REF!</v>
      </c>
      <c r="HG56" t="e">
        <f>AND(#REF!,"AAAAAClv0dY=")</f>
        <v>#REF!</v>
      </c>
      <c r="HH56" t="e">
        <f>AND(#REF!,"AAAAAClv0dc=")</f>
        <v>#REF!</v>
      </c>
      <c r="HI56" t="e">
        <f>AND(#REF!,"AAAAAClv0dg=")</f>
        <v>#REF!</v>
      </c>
      <c r="HJ56" t="e">
        <f>AND(#REF!,"AAAAAClv0dk=")</f>
        <v>#REF!</v>
      </c>
      <c r="HK56" t="e">
        <f>AND(#REF!,"AAAAAClv0do=")</f>
        <v>#REF!</v>
      </c>
      <c r="HL56" t="e">
        <f>AND(#REF!,"AAAAAClv0ds=")</f>
        <v>#REF!</v>
      </c>
      <c r="HM56" t="e">
        <f>AND(#REF!,"AAAAAClv0dw=")</f>
        <v>#REF!</v>
      </c>
      <c r="HN56" t="e">
        <f>AND(#REF!,"AAAAAClv0d0=")</f>
        <v>#REF!</v>
      </c>
      <c r="HO56" t="e">
        <f>AND(#REF!,"AAAAAClv0d4=")</f>
        <v>#REF!</v>
      </c>
      <c r="HP56" t="e">
        <f>AND(#REF!,"AAAAAClv0d8=")</f>
        <v>#REF!</v>
      </c>
      <c r="HQ56" t="e">
        <f>AND(#REF!,"AAAAAClv0eA=")</f>
        <v>#REF!</v>
      </c>
      <c r="HR56" t="e">
        <f>AND(#REF!,"AAAAAClv0eE=")</f>
        <v>#REF!</v>
      </c>
      <c r="HS56" t="e">
        <f>AND(#REF!,"AAAAAClv0eI=")</f>
        <v>#REF!</v>
      </c>
      <c r="HT56" t="e">
        <f>AND(#REF!,"AAAAAClv0eM=")</f>
        <v>#REF!</v>
      </c>
      <c r="HU56" t="e">
        <f>AND(#REF!,"AAAAAClv0eQ=")</f>
        <v>#REF!</v>
      </c>
      <c r="HV56" t="e">
        <f>AND(#REF!,"AAAAAClv0eU=")</f>
        <v>#REF!</v>
      </c>
      <c r="HW56" t="e">
        <f>AND(#REF!,"AAAAAClv0eY=")</f>
        <v>#REF!</v>
      </c>
      <c r="HX56" t="e">
        <f>AND(#REF!,"AAAAAClv0ec=")</f>
        <v>#REF!</v>
      </c>
      <c r="HY56" t="e">
        <f>AND(#REF!,"AAAAAClv0eg=")</f>
        <v>#REF!</v>
      </c>
      <c r="HZ56" t="e">
        <f>AND(#REF!,"AAAAAClv0ek=")</f>
        <v>#REF!</v>
      </c>
      <c r="IA56" t="e">
        <f>AND(#REF!,"AAAAAClv0eo=")</f>
        <v>#REF!</v>
      </c>
      <c r="IB56" t="e">
        <f>AND(#REF!,"AAAAAClv0es=")</f>
        <v>#REF!</v>
      </c>
      <c r="IC56" t="e">
        <f>AND(#REF!,"AAAAAClv0ew=")</f>
        <v>#REF!</v>
      </c>
      <c r="ID56" t="e">
        <f>AND(#REF!,"AAAAAClv0e0=")</f>
        <v>#REF!</v>
      </c>
      <c r="IE56" t="e">
        <f>AND(#REF!,"AAAAAClv0e4=")</f>
        <v>#REF!</v>
      </c>
      <c r="IF56" t="e">
        <f>AND(#REF!,"AAAAAClv0e8=")</f>
        <v>#REF!</v>
      </c>
      <c r="IG56" t="e">
        <f>AND(#REF!,"AAAAAClv0fA=")</f>
        <v>#REF!</v>
      </c>
      <c r="IH56" t="e">
        <f>AND(#REF!,"AAAAAClv0fE=")</f>
        <v>#REF!</v>
      </c>
      <c r="II56" t="e">
        <f>AND(#REF!,"AAAAAClv0fI=")</f>
        <v>#REF!</v>
      </c>
      <c r="IJ56" t="e">
        <f>AND(#REF!,"AAAAAClv0fM=")</f>
        <v>#REF!</v>
      </c>
      <c r="IK56" t="e">
        <f>AND(#REF!,"AAAAAClv0fQ=")</f>
        <v>#REF!</v>
      </c>
      <c r="IL56" t="e">
        <f>AND(#REF!,"AAAAAClv0fU=")</f>
        <v>#REF!</v>
      </c>
      <c r="IM56" t="e">
        <f>AND(#REF!,"AAAAAClv0fY=")</f>
        <v>#REF!</v>
      </c>
      <c r="IN56" t="e">
        <f>AND(#REF!,"AAAAAClv0fc=")</f>
        <v>#REF!</v>
      </c>
      <c r="IO56" t="e">
        <f>AND(#REF!,"AAAAAClv0fg=")</f>
        <v>#REF!</v>
      </c>
      <c r="IP56" t="e">
        <f>AND(#REF!,"AAAAAClv0fk=")</f>
        <v>#REF!</v>
      </c>
      <c r="IQ56" t="e">
        <f>AND(#REF!,"AAAAAClv0fo=")</f>
        <v>#REF!</v>
      </c>
      <c r="IR56" t="e">
        <f>AND(#REF!,"AAAAAClv0fs=")</f>
        <v>#REF!</v>
      </c>
      <c r="IS56" t="e">
        <f>IF(#REF!,"AAAAAClv0fw=",0)</f>
        <v>#REF!</v>
      </c>
      <c r="IT56" t="e">
        <f>AND(#REF!,"AAAAAClv0f0=")</f>
        <v>#REF!</v>
      </c>
      <c r="IU56" t="e">
        <f>AND(#REF!,"AAAAAClv0f4=")</f>
        <v>#REF!</v>
      </c>
      <c r="IV56" t="e">
        <f>AND(#REF!,"AAAAAClv0f8=")</f>
        <v>#REF!</v>
      </c>
    </row>
    <row r="57" spans="1:256" x14ac:dyDescent="0.2">
      <c r="A57" t="e">
        <f>AND(#REF!,"AAAAAH/K/wA=")</f>
        <v>#REF!</v>
      </c>
      <c r="B57" t="e">
        <f>AND(#REF!,"AAAAAH/K/wE=")</f>
        <v>#REF!</v>
      </c>
      <c r="C57" t="e">
        <f>AND(#REF!,"AAAAAH/K/wI=")</f>
        <v>#REF!</v>
      </c>
      <c r="D57" t="e">
        <f>AND(#REF!,"AAAAAH/K/wM=")</f>
        <v>#REF!</v>
      </c>
      <c r="E57" t="e">
        <f>AND(#REF!,"AAAAAH/K/wQ=")</f>
        <v>#REF!</v>
      </c>
      <c r="F57" t="e">
        <f>AND(#REF!,"AAAAAH/K/wU=")</f>
        <v>#REF!</v>
      </c>
      <c r="G57" t="e">
        <f>AND(#REF!,"AAAAAH/K/wY=")</f>
        <v>#REF!</v>
      </c>
      <c r="H57" t="e">
        <f>AND(#REF!,"AAAAAH/K/wc=")</f>
        <v>#REF!</v>
      </c>
      <c r="I57" t="e">
        <f>AND(#REF!,"AAAAAH/K/wg=")</f>
        <v>#REF!</v>
      </c>
      <c r="J57" t="e">
        <f>AND(#REF!,"AAAAAH/K/wk=")</f>
        <v>#REF!</v>
      </c>
      <c r="K57" t="e">
        <f>AND(#REF!,"AAAAAH/K/wo=")</f>
        <v>#REF!</v>
      </c>
      <c r="L57" t="e">
        <f>AND(#REF!,"AAAAAH/K/ws=")</f>
        <v>#REF!</v>
      </c>
      <c r="M57" t="e">
        <f>AND(#REF!,"AAAAAH/K/ww=")</f>
        <v>#REF!</v>
      </c>
      <c r="N57" t="e">
        <f>AND(#REF!,"AAAAAH/K/w0=")</f>
        <v>#REF!</v>
      </c>
      <c r="O57" t="e">
        <f>AND(#REF!,"AAAAAH/K/w4=")</f>
        <v>#REF!</v>
      </c>
      <c r="P57" t="e">
        <f>AND(#REF!,"AAAAAH/K/w8=")</f>
        <v>#REF!</v>
      </c>
      <c r="Q57" t="e">
        <f>AND(#REF!,"AAAAAH/K/xA=")</f>
        <v>#REF!</v>
      </c>
      <c r="R57" t="e">
        <f>AND(#REF!,"AAAAAH/K/xE=")</f>
        <v>#REF!</v>
      </c>
      <c r="S57" t="e">
        <f>AND(#REF!,"AAAAAH/K/xI=")</f>
        <v>#REF!</v>
      </c>
      <c r="T57" t="e">
        <f>AND(#REF!,"AAAAAH/K/xM=")</f>
        <v>#REF!</v>
      </c>
      <c r="U57" t="e">
        <f>AND(#REF!,"AAAAAH/K/xQ=")</f>
        <v>#REF!</v>
      </c>
      <c r="V57" t="e">
        <f>AND(#REF!,"AAAAAH/K/xU=")</f>
        <v>#REF!</v>
      </c>
      <c r="W57" t="e">
        <f>AND(#REF!,"AAAAAH/K/xY=")</f>
        <v>#REF!</v>
      </c>
      <c r="X57" t="e">
        <f>AND(#REF!,"AAAAAH/K/xc=")</f>
        <v>#REF!</v>
      </c>
      <c r="Y57" t="e">
        <f>AND(#REF!,"AAAAAH/K/xg=")</f>
        <v>#REF!</v>
      </c>
      <c r="Z57" t="e">
        <f>AND(#REF!,"AAAAAH/K/xk=")</f>
        <v>#REF!</v>
      </c>
      <c r="AA57" t="e">
        <f>AND(#REF!,"AAAAAH/K/xo=")</f>
        <v>#REF!</v>
      </c>
      <c r="AB57" t="e">
        <f>AND(#REF!,"AAAAAH/K/xs=")</f>
        <v>#REF!</v>
      </c>
      <c r="AC57" t="e">
        <f>AND(#REF!,"AAAAAH/K/xw=")</f>
        <v>#REF!</v>
      </c>
      <c r="AD57" t="e">
        <f>AND(#REF!,"AAAAAH/K/x0=")</f>
        <v>#REF!</v>
      </c>
      <c r="AE57" t="e">
        <f>AND(#REF!,"AAAAAH/K/x4=")</f>
        <v>#REF!</v>
      </c>
      <c r="AF57" t="e">
        <f>AND(#REF!,"AAAAAH/K/x8=")</f>
        <v>#REF!</v>
      </c>
      <c r="AG57" t="e">
        <f>AND(#REF!,"AAAAAH/K/yA=")</f>
        <v>#REF!</v>
      </c>
      <c r="AH57" t="e">
        <f>AND(#REF!,"AAAAAH/K/yE=")</f>
        <v>#REF!</v>
      </c>
      <c r="AI57" t="e">
        <f>AND(#REF!,"AAAAAH/K/yI=")</f>
        <v>#REF!</v>
      </c>
      <c r="AJ57" t="e">
        <f>AND(#REF!,"AAAAAH/K/yM=")</f>
        <v>#REF!</v>
      </c>
      <c r="AK57" t="e">
        <f>AND(#REF!,"AAAAAH/K/yQ=")</f>
        <v>#REF!</v>
      </c>
      <c r="AL57" t="e">
        <f>AND(#REF!,"AAAAAH/K/yU=")</f>
        <v>#REF!</v>
      </c>
      <c r="AM57" t="e">
        <f>AND(#REF!,"AAAAAH/K/yY=")</f>
        <v>#REF!</v>
      </c>
      <c r="AN57" t="e">
        <f>AND(#REF!,"AAAAAH/K/yc=")</f>
        <v>#REF!</v>
      </c>
      <c r="AO57" t="e">
        <f>AND(#REF!,"AAAAAH/K/yg=")</f>
        <v>#REF!</v>
      </c>
      <c r="AP57" t="e">
        <f>AND(#REF!,"AAAAAH/K/yk=")</f>
        <v>#REF!</v>
      </c>
      <c r="AQ57" t="e">
        <f>AND(#REF!,"AAAAAH/K/yo=")</f>
        <v>#REF!</v>
      </c>
      <c r="AR57" t="e">
        <f>AND(#REF!,"AAAAAH/K/ys=")</f>
        <v>#REF!</v>
      </c>
      <c r="AS57" t="e">
        <f>AND(#REF!,"AAAAAH/K/yw=")</f>
        <v>#REF!</v>
      </c>
      <c r="AT57" t="e">
        <f>AND(#REF!,"AAAAAH/K/y0=")</f>
        <v>#REF!</v>
      </c>
      <c r="AU57" t="e">
        <f>AND(#REF!,"AAAAAH/K/y4=")</f>
        <v>#REF!</v>
      </c>
      <c r="AV57" t="e">
        <f>AND(#REF!,"AAAAAH/K/y8=")</f>
        <v>#REF!</v>
      </c>
      <c r="AW57" t="e">
        <f>AND(#REF!,"AAAAAH/K/zA=")</f>
        <v>#REF!</v>
      </c>
      <c r="AX57" t="e">
        <f>AND(#REF!,"AAAAAH/K/zE=")</f>
        <v>#REF!</v>
      </c>
      <c r="AY57" t="e">
        <f>AND(#REF!,"AAAAAH/K/zI=")</f>
        <v>#REF!</v>
      </c>
      <c r="AZ57" t="e">
        <f>AND(#REF!,"AAAAAH/K/zM=")</f>
        <v>#REF!</v>
      </c>
      <c r="BA57" t="e">
        <f>AND(#REF!,"AAAAAH/K/zQ=")</f>
        <v>#REF!</v>
      </c>
      <c r="BB57" t="e">
        <f>AND(#REF!,"AAAAAH/K/zU=")</f>
        <v>#REF!</v>
      </c>
      <c r="BC57" t="e">
        <f>AND(#REF!,"AAAAAH/K/zY=")</f>
        <v>#REF!</v>
      </c>
      <c r="BD57" t="e">
        <f>AND(#REF!,"AAAAAH/K/zc=")</f>
        <v>#REF!</v>
      </c>
      <c r="BE57" t="e">
        <f>AND(#REF!,"AAAAAH/K/zg=")</f>
        <v>#REF!</v>
      </c>
      <c r="BF57" t="e">
        <f>AND(#REF!,"AAAAAH/K/zk=")</f>
        <v>#REF!</v>
      </c>
      <c r="BG57" t="e">
        <f>AND(#REF!,"AAAAAH/K/zo=")</f>
        <v>#REF!</v>
      </c>
      <c r="BH57" t="e">
        <f>AND(#REF!,"AAAAAH/K/zs=")</f>
        <v>#REF!</v>
      </c>
      <c r="BI57" t="e">
        <f>AND(#REF!,"AAAAAH/K/zw=")</f>
        <v>#REF!</v>
      </c>
      <c r="BJ57" t="e">
        <f>AND(#REF!,"AAAAAH/K/z0=")</f>
        <v>#REF!</v>
      </c>
      <c r="BK57" t="e">
        <f>AND(#REF!,"AAAAAH/K/z4=")</f>
        <v>#REF!</v>
      </c>
      <c r="BL57" t="e">
        <f>AND(#REF!,"AAAAAH/K/z8=")</f>
        <v>#REF!</v>
      </c>
      <c r="BM57" t="e">
        <f>AND(#REF!,"AAAAAH/K/0A=")</f>
        <v>#REF!</v>
      </c>
      <c r="BN57" t="e">
        <f>AND(#REF!,"AAAAAH/K/0E=")</f>
        <v>#REF!</v>
      </c>
      <c r="BO57" t="e">
        <f>AND(#REF!,"AAAAAH/K/0I=")</f>
        <v>#REF!</v>
      </c>
      <c r="BP57" t="e">
        <f>AND(#REF!,"AAAAAH/K/0M=")</f>
        <v>#REF!</v>
      </c>
      <c r="BQ57" t="e">
        <f>AND(#REF!,"AAAAAH/K/0Q=")</f>
        <v>#REF!</v>
      </c>
      <c r="BR57" t="e">
        <f>AND(#REF!,"AAAAAH/K/0U=")</f>
        <v>#REF!</v>
      </c>
      <c r="BS57" t="e">
        <f>AND(#REF!,"AAAAAH/K/0Y=")</f>
        <v>#REF!</v>
      </c>
      <c r="BT57" t="e">
        <f>IF(#REF!,"AAAAAH/K/0c=",0)</f>
        <v>#REF!</v>
      </c>
      <c r="BU57" t="e">
        <f>AND(#REF!,"AAAAAH/K/0g=")</f>
        <v>#REF!</v>
      </c>
      <c r="BV57" t="e">
        <f>AND(#REF!,"AAAAAH/K/0k=")</f>
        <v>#REF!</v>
      </c>
      <c r="BW57" t="e">
        <f>AND(#REF!,"AAAAAH/K/0o=")</f>
        <v>#REF!</v>
      </c>
      <c r="BX57" t="e">
        <f>AND(#REF!,"AAAAAH/K/0s=")</f>
        <v>#REF!</v>
      </c>
      <c r="BY57" t="e">
        <f>AND(#REF!,"AAAAAH/K/0w=")</f>
        <v>#REF!</v>
      </c>
      <c r="BZ57" t="e">
        <f>AND(#REF!,"AAAAAH/K/00=")</f>
        <v>#REF!</v>
      </c>
      <c r="CA57" t="e">
        <f>AND(#REF!,"AAAAAH/K/04=")</f>
        <v>#REF!</v>
      </c>
      <c r="CB57" t="e">
        <f>AND(#REF!,"AAAAAH/K/08=")</f>
        <v>#REF!</v>
      </c>
      <c r="CC57" t="e">
        <f>AND(#REF!,"AAAAAH/K/1A=")</f>
        <v>#REF!</v>
      </c>
      <c r="CD57" t="e">
        <f>AND(#REF!,"AAAAAH/K/1E=")</f>
        <v>#REF!</v>
      </c>
      <c r="CE57" t="e">
        <f>AND(#REF!,"AAAAAH/K/1I=")</f>
        <v>#REF!</v>
      </c>
      <c r="CF57" t="e">
        <f>AND(#REF!,"AAAAAH/K/1M=")</f>
        <v>#REF!</v>
      </c>
      <c r="CG57" t="e">
        <f>AND(#REF!,"AAAAAH/K/1Q=")</f>
        <v>#REF!</v>
      </c>
      <c r="CH57" t="e">
        <f>AND(#REF!,"AAAAAH/K/1U=")</f>
        <v>#REF!</v>
      </c>
      <c r="CI57" t="e">
        <f>AND(#REF!,"AAAAAH/K/1Y=")</f>
        <v>#REF!</v>
      </c>
      <c r="CJ57" t="e">
        <f>AND(#REF!,"AAAAAH/K/1c=")</f>
        <v>#REF!</v>
      </c>
      <c r="CK57" t="e">
        <f>AND(#REF!,"AAAAAH/K/1g=")</f>
        <v>#REF!</v>
      </c>
      <c r="CL57" t="e">
        <f>AND(#REF!,"AAAAAH/K/1k=")</f>
        <v>#REF!</v>
      </c>
      <c r="CM57" t="e">
        <f>AND(#REF!,"AAAAAH/K/1o=")</f>
        <v>#REF!</v>
      </c>
      <c r="CN57" t="e">
        <f>AND(#REF!,"AAAAAH/K/1s=")</f>
        <v>#REF!</v>
      </c>
      <c r="CO57" t="e">
        <f>AND(#REF!,"AAAAAH/K/1w=")</f>
        <v>#REF!</v>
      </c>
      <c r="CP57" t="e">
        <f>AND(#REF!,"AAAAAH/K/10=")</f>
        <v>#REF!</v>
      </c>
      <c r="CQ57" t="e">
        <f>AND(#REF!,"AAAAAH/K/14=")</f>
        <v>#REF!</v>
      </c>
      <c r="CR57" t="e">
        <f>AND(#REF!,"AAAAAH/K/18=")</f>
        <v>#REF!</v>
      </c>
      <c r="CS57" t="e">
        <f>AND(#REF!,"AAAAAH/K/2A=")</f>
        <v>#REF!</v>
      </c>
      <c r="CT57" t="e">
        <f>AND(#REF!,"AAAAAH/K/2E=")</f>
        <v>#REF!</v>
      </c>
      <c r="CU57" t="e">
        <f>AND(#REF!,"AAAAAH/K/2I=")</f>
        <v>#REF!</v>
      </c>
      <c r="CV57" t="e">
        <f>AND(#REF!,"AAAAAH/K/2M=")</f>
        <v>#REF!</v>
      </c>
      <c r="CW57" t="e">
        <f>AND(#REF!,"AAAAAH/K/2Q=")</f>
        <v>#REF!</v>
      </c>
      <c r="CX57" t="e">
        <f>AND(#REF!,"AAAAAH/K/2U=")</f>
        <v>#REF!</v>
      </c>
      <c r="CY57" t="e">
        <f>AND(#REF!,"AAAAAH/K/2Y=")</f>
        <v>#REF!</v>
      </c>
      <c r="CZ57" t="e">
        <f>AND(#REF!,"AAAAAH/K/2c=")</f>
        <v>#REF!</v>
      </c>
      <c r="DA57" t="e">
        <f>AND(#REF!,"AAAAAH/K/2g=")</f>
        <v>#REF!</v>
      </c>
      <c r="DB57" t="e">
        <f>AND(#REF!,"AAAAAH/K/2k=")</f>
        <v>#REF!</v>
      </c>
      <c r="DC57" t="e">
        <f>AND(#REF!,"AAAAAH/K/2o=")</f>
        <v>#REF!</v>
      </c>
      <c r="DD57" t="e">
        <f>AND(#REF!,"AAAAAH/K/2s=")</f>
        <v>#REF!</v>
      </c>
      <c r="DE57" t="e">
        <f>AND(#REF!,"AAAAAH/K/2w=")</f>
        <v>#REF!</v>
      </c>
      <c r="DF57" t="e">
        <f>AND(#REF!,"AAAAAH/K/20=")</f>
        <v>#REF!</v>
      </c>
      <c r="DG57" t="e">
        <f>AND(#REF!,"AAAAAH/K/24=")</f>
        <v>#REF!</v>
      </c>
      <c r="DH57" t="e">
        <f>AND(#REF!,"AAAAAH/K/28=")</f>
        <v>#REF!</v>
      </c>
      <c r="DI57" t="e">
        <f>AND(#REF!,"AAAAAH/K/3A=")</f>
        <v>#REF!</v>
      </c>
      <c r="DJ57" t="e">
        <f>AND(#REF!,"AAAAAH/K/3E=")</f>
        <v>#REF!</v>
      </c>
      <c r="DK57" t="e">
        <f>AND(#REF!,"AAAAAH/K/3I=")</f>
        <v>#REF!</v>
      </c>
      <c r="DL57" t="e">
        <f>AND(#REF!,"AAAAAH/K/3M=")</f>
        <v>#REF!</v>
      </c>
      <c r="DM57" t="e">
        <f>AND(#REF!,"AAAAAH/K/3Q=")</f>
        <v>#REF!</v>
      </c>
      <c r="DN57" t="e">
        <f>AND(#REF!,"AAAAAH/K/3U=")</f>
        <v>#REF!</v>
      </c>
      <c r="DO57" t="e">
        <f>AND(#REF!,"AAAAAH/K/3Y=")</f>
        <v>#REF!</v>
      </c>
      <c r="DP57" t="e">
        <f>AND(#REF!,"AAAAAH/K/3c=")</f>
        <v>#REF!</v>
      </c>
      <c r="DQ57" t="e">
        <f>AND(#REF!,"AAAAAH/K/3g=")</f>
        <v>#REF!</v>
      </c>
      <c r="DR57" t="e">
        <f>AND(#REF!,"AAAAAH/K/3k=")</f>
        <v>#REF!</v>
      </c>
      <c r="DS57" t="e">
        <f>AND(#REF!,"AAAAAH/K/3o=")</f>
        <v>#REF!</v>
      </c>
      <c r="DT57" t="e">
        <f>AND(#REF!,"AAAAAH/K/3s=")</f>
        <v>#REF!</v>
      </c>
      <c r="DU57" t="e">
        <f>AND(#REF!,"AAAAAH/K/3w=")</f>
        <v>#REF!</v>
      </c>
      <c r="DV57" t="e">
        <f>AND(#REF!,"AAAAAH/K/30=")</f>
        <v>#REF!</v>
      </c>
      <c r="DW57" t="e">
        <f>AND(#REF!,"AAAAAH/K/34=")</f>
        <v>#REF!</v>
      </c>
      <c r="DX57" t="e">
        <f>AND(#REF!,"AAAAAH/K/38=")</f>
        <v>#REF!</v>
      </c>
      <c r="DY57" t="e">
        <f>AND(#REF!,"AAAAAH/K/4A=")</f>
        <v>#REF!</v>
      </c>
      <c r="DZ57" t="e">
        <f>AND(#REF!,"AAAAAH/K/4E=")</f>
        <v>#REF!</v>
      </c>
      <c r="EA57" t="e">
        <f>AND(#REF!,"AAAAAH/K/4I=")</f>
        <v>#REF!</v>
      </c>
      <c r="EB57" t="e">
        <f>AND(#REF!,"AAAAAH/K/4M=")</f>
        <v>#REF!</v>
      </c>
      <c r="EC57" t="e">
        <f>AND(#REF!,"AAAAAH/K/4Q=")</f>
        <v>#REF!</v>
      </c>
      <c r="ED57" t="e">
        <f>AND(#REF!,"AAAAAH/K/4U=")</f>
        <v>#REF!</v>
      </c>
      <c r="EE57" t="e">
        <f>AND(#REF!,"AAAAAH/K/4Y=")</f>
        <v>#REF!</v>
      </c>
      <c r="EF57" t="e">
        <f>AND(#REF!,"AAAAAH/K/4c=")</f>
        <v>#REF!</v>
      </c>
      <c r="EG57" t="e">
        <f>AND(#REF!,"AAAAAH/K/4g=")</f>
        <v>#REF!</v>
      </c>
      <c r="EH57" t="e">
        <f>AND(#REF!,"AAAAAH/K/4k=")</f>
        <v>#REF!</v>
      </c>
      <c r="EI57" t="e">
        <f>AND(#REF!,"AAAAAH/K/4o=")</f>
        <v>#REF!</v>
      </c>
      <c r="EJ57" t="e">
        <f>AND(#REF!,"AAAAAH/K/4s=")</f>
        <v>#REF!</v>
      </c>
      <c r="EK57" t="e">
        <f>AND(#REF!,"AAAAAH/K/4w=")</f>
        <v>#REF!</v>
      </c>
      <c r="EL57" t="e">
        <f>AND(#REF!,"AAAAAH/K/40=")</f>
        <v>#REF!</v>
      </c>
      <c r="EM57" t="e">
        <f>AND(#REF!,"AAAAAH/K/44=")</f>
        <v>#REF!</v>
      </c>
      <c r="EN57" t="e">
        <f>AND(#REF!,"AAAAAH/K/48=")</f>
        <v>#REF!</v>
      </c>
      <c r="EO57" t="e">
        <f>AND(#REF!,"AAAAAH/K/5A=")</f>
        <v>#REF!</v>
      </c>
      <c r="EP57" t="e">
        <f>AND(#REF!,"AAAAAH/K/5E=")</f>
        <v>#REF!</v>
      </c>
      <c r="EQ57" t="e">
        <f>IF(#REF!,"AAAAAH/K/5I=",0)</f>
        <v>#REF!</v>
      </c>
      <c r="ER57" t="e">
        <f>AND(#REF!,"AAAAAH/K/5M=")</f>
        <v>#REF!</v>
      </c>
      <c r="ES57" t="e">
        <f>AND(#REF!,"AAAAAH/K/5Q=")</f>
        <v>#REF!</v>
      </c>
      <c r="ET57" t="e">
        <f>AND(#REF!,"AAAAAH/K/5U=")</f>
        <v>#REF!</v>
      </c>
      <c r="EU57" t="e">
        <f>AND(#REF!,"AAAAAH/K/5Y=")</f>
        <v>#REF!</v>
      </c>
      <c r="EV57" t="e">
        <f>AND(#REF!,"AAAAAH/K/5c=")</f>
        <v>#REF!</v>
      </c>
      <c r="EW57" t="e">
        <f>AND(#REF!,"AAAAAH/K/5g=")</f>
        <v>#REF!</v>
      </c>
      <c r="EX57" t="e">
        <f>AND(#REF!,"AAAAAH/K/5k=")</f>
        <v>#REF!</v>
      </c>
      <c r="EY57" t="e">
        <f>AND(#REF!,"AAAAAH/K/5o=")</f>
        <v>#REF!</v>
      </c>
      <c r="EZ57" t="e">
        <f>AND(#REF!,"AAAAAH/K/5s=")</f>
        <v>#REF!</v>
      </c>
      <c r="FA57" t="e">
        <f>AND(#REF!,"AAAAAH/K/5w=")</f>
        <v>#REF!</v>
      </c>
      <c r="FB57" t="e">
        <f>AND(#REF!,"AAAAAH/K/50=")</f>
        <v>#REF!</v>
      </c>
      <c r="FC57" t="e">
        <f>AND(#REF!,"AAAAAH/K/54=")</f>
        <v>#REF!</v>
      </c>
      <c r="FD57" t="e">
        <f>AND(#REF!,"AAAAAH/K/58=")</f>
        <v>#REF!</v>
      </c>
      <c r="FE57" t="e">
        <f>AND(#REF!,"AAAAAH/K/6A=")</f>
        <v>#REF!</v>
      </c>
      <c r="FF57" t="e">
        <f>AND(#REF!,"AAAAAH/K/6E=")</f>
        <v>#REF!</v>
      </c>
      <c r="FG57" t="e">
        <f>AND(#REF!,"AAAAAH/K/6I=")</f>
        <v>#REF!</v>
      </c>
      <c r="FH57" t="e">
        <f>AND(#REF!,"AAAAAH/K/6M=")</f>
        <v>#REF!</v>
      </c>
      <c r="FI57" t="e">
        <f>AND(#REF!,"AAAAAH/K/6Q=")</f>
        <v>#REF!</v>
      </c>
      <c r="FJ57" t="e">
        <f>AND(#REF!,"AAAAAH/K/6U=")</f>
        <v>#REF!</v>
      </c>
      <c r="FK57" t="e">
        <f>AND(#REF!,"AAAAAH/K/6Y=")</f>
        <v>#REF!</v>
      </c>
      <c r="FL57" t="e">
        <f>AND(#REF!,"AAAAAH/K/6c=")</f>
        <v>#REF!</v>
      </c>
      <c r="FM57" t="e">
        <f>AND(#REF!,"AAAAAH/K/6g=")</f>
        <v>#REF!</v>
      </c>
      <c r="FN57" t="e">
        <f>AND(#REF!,"AAAAAH/K/6k=")</f>
        <v>#REF!</v>
      </c>
      <c r="FO57" t="e">
        <f>AND(#REF!,"AAAAAH/K/6o=")</f>
        <v>#REF!</v>
      </c>
      <c r="FP57" t="e">
        <f>AND(#REF!,"AAAAAH/K/6s=")</f>
        <v>#REF!</v>
      </c>
      <c r="FQ57" t="e">
        <f>AND(#REF!,"AAAAAH/K/6w=")</f>
        <v>#REF!</v>
      </c>
      <c r="FR57" t="e">
        <f>AND(#REF!,"AAAAAH/K/60=")</f>
        <v>#REF!</v>
      </c>
      <c r="FS57" t="e">
        <f>AND(#REF!,"AAAAAH/K/64=")</f>
        <v>#REF!</v>
      </c>
      <c r="FT57" t="e">
        <f>AND(#REF!,"AAAAAH/K/68=")</f>
        <v>#REF!</v>
      </c>
      <c r="FU57" t="e">
        <f>AND(#REF!,"AAAAAH/K/7A=")</f>
        <v>#REF!</v>
      </c>
      <c r="FV57" t="e">
        <f>AND(#REF!,"AAAAAH/K/7E=")</f>
        <v>#REF!</v>
      </c>
      <c r="FW57" t="e">
        <f>AND(#REF!,"AAAAAH/K/7I=")</f>
        <v>#REF!</v>
      </c>
      <c r="FX57" t="e">
        <f>AND(#REF!,"AAAAAH/K/7M=")</f>
        <v>#REF!</v>
      </c>
      <c r="FY57" t="e">
        <f>AND(#REF!,"AAAAAH/K/7Q=")</f>
        <v>#REF!</v>
      </c>
      <c r="FZ57" t="e">
        <f>AND(#REF!,"AAAAAH/K/7U=")</f>
        <v>#REF!</v>
      </c>
      <c r="GA57" t="e">
        <f>AND(#REF!,"AAAAAH/K/7Y=")</f>
        <v>#REF!</v>
      </c>
      <c r="GB57" t="e">
        <f>AND(#REF!,"AAAAAH/K/7c=")</f>
        <v>#REF!</v>
      </c>
      <c r="GC57" t="e">
        <f>AND(#REF!,"AAAAAH/K/7g=")</f>
        <v>#REF!</v>
      </c>
      <c r="GD57" t="e">
        <f>AND(#REF!,"AAAAAH/K/7k=")</f>
        <v>#REF!</v>
      </c>
      <c r="GE57" t="e">
        <f>AND(#REF!,"AAAAAH/K/7o=")</f>
        <v>#REF!</v>
      </c>
      <c r="GF57" t="e">
        <f>AND(#REF!,"AAAAAH/K/7s=")</f>
        <v>#REF!</v>
      </c>
      <c r="GG57" t="e">
        <f>AND(#REF!,"AAAAAH/K/7w=")</f>
        <v>#REF!</v>
      </c>
      <c r="GH57" t="e">
        <f>AND(#REF!,"AAAAAH/K/70=")</f>
        <v>#REF!</v>
      </c>
      <c r="GI57" t="e">
        <f>AND(#REF!,"AAAAAH/K/74=")</f>
        <v>#REF!</v>
      </c>
      <c r="GJ57" t="e">
        <f>AND(#REF!,"AAAAAH/K/78=")</f>
        <v>#REF!</v>
      </c>
      <c r="GK57" t="e">
        <f>AND(#REF!,"AAAAAH/K/8A=")</f>
        <v>#REF!</v>
      </c>
      <c r="GL57" t="e">
        <f>AND(#REF!,"AAAAAH/K/8E=")</f>
        <v>#REF!</v>
      </c>
      <c r="GM57" t="e">
        <f>AND(#REF!,"AAAAAH/K/8I=")</f>
        <v>#REF!</v>
      </c>
      <c r="GN57" t="e">
        <f>AND(#REF!,"AAAAAH/K/8M=")</f>
        <v>#REF!</v>
      </c>
      <c r="GO57" t="e">
        <f>AND(#REF!,"AAAAAH/K/8Q=")</f>
        <v>#REF!</v>
      </c>
      <c r="GP57" t="e">
        <f>AND(#REF!,"AAAAAH/K/8U=")</f>
        <v>#REF!</v>
      </c>
      <c r="GQ57" t="e">
        <f>AND(#REF!,"AAAAAH/K/8Y=")</f>
        <v>#REF!</v>
      </c>
      <c r="GR57" t="e">
        <f>AND(#REF!,"AAAAAH/K/8c=")</f>
        <v>#REF!</v>
      </c>
      <c r="GS57" t="e">
        <f>AND(#REF!,"AAAAAH/K/8g=")</f>
        <v>#REF!</v>
      </c>
      <c r="GT57" t="e">
        <f>AND(#REF!,"AAAAAH/K/8k=")</f>
        <v>#REF!</v>
      </c>
      <c r="GU57" t="e">
        <f>AND(#REF!,"AAAAAH/K/8o=")</f>
        <v>#REF!</v>
      </c>
      <c r="GV57" t="e">
        <f>AND(#REF!,"AAAAAH/K/8s=")</f>
        <v>#REF!</v>
      </c>
      <c r="GW57" t="e">
        <f>AND(#REF!,"AAAAAH/K/8w=")</f>
        <v>#REF!</v>
      </c>
      <c r="GX57" t="e">
        <f>AND(#REF!,"AAAAAH/K/80=")</f>
        <v>#REF!</v>
      </c>
      <c r="GY57" t="e">
        <f>AND(#REF!,"AAAAAH/K/84=")</f>
        <v>#REF!</v>
      </c>
      <c r="GZ57" t="e">
        <f>AND(#REF!,"AAAAAH/K/88=")</f>
        <v>#REF!</v>
      </c>
      <c r="HA57" t="e">
        <f>AND(#REF!,"AAAAAH/K/9A=")</f>
        <v>#REF!</v>
      </c>
      <c r="HB57" t="e">
        <f>AND(#REF!,"AAAAAH/K/9E=")</f>
        <v>#REF!</v>
      </c>
      <c r="HC57" t="e">
        <f>AND(#REF!,"AAAAAH/K/9I=")</f>
        <v>#REF!</v>
      </c>
      <c r="HD57" t="e">
        <f>AND(#REF!,"AAAAAH/K/9M=")</f>
        <v>#REF!</v>
      </c>
      <c r="HE57" t="e">
        <f>AND(#REF!,"AAAAAH/K/9Q=")</f>
        <v>#REF!</v>
      </c>
      <c r="HF57" t="e">
        <f>AND(#REF!,"AAAAAH/K/9U=")</f>
        <v>#REF!</v>
      </c>
      <c r="HG57" t="e">
        <f>AND(#REF!,"AAAAAH/K/9Y=")</f>
        <v>#REF!</v>
      </c>
      <c r="HH57" t="e">
        <f>AND(#REF!,"AAAAAH/K/9c=")</f>
        <v>#REF!</v>
      </c>
      <c r="HI57" t="e">
        <f>AND(#REF!,"AAAAAH/K/9g=")</f>
        <v>#REF!</v>
      </c>
      <c r="HJ57" t="e">
        <f>AND(#REF!,"AAAAAH/K/9k=")</f>
        <v>#REF!</v>
      </c>
      <c r="HK57" t="e">
        <f>AND(#REF!,"AAAAAH/K/9o=")</f>
        <v>#REF!</v>
      </c>
      <c r="HL57" t="e">
        <f>AND(#REF!,"AAAAAH/K/9s=")</f>
        <v>#REF!</v>
      </c>
      <c r="HM57" t="e">
        <f>AND(#REF!,"AAAAAH/K/9w=")</f>
        <v>#REF!</v>
      </c>
      <c r="HN57" t="e">
        <f>IF(#REF!,"AAAAAH/K/90=",0)</f>
        <v>#REF!</v>
      </c>
      <c r="HO57" t="e">
        <f>AND(#REF!,"AAAAAH/K/94=")</f>
        <v>#REF!</v>
      </c>
      <c r="HP57" t="e">
        <f>AND(#REF!,"AAAAAH/K/98=")</f>
        <v>#REF!</v>
      </c>
      <c r="HQ57" t="e">
        <f>AND(#REF!,"AAAAAH/K/+A=")</f>
        <v>#REF!</v>
      </c>
      <c r="HR57" t="e">
        <f>AND(#REF!,"AAAAAH/K/+E=")</f>
        <v>#REF!</v>
      </c>
      <c r="HS57" t="e">
        <f>AND(#REF!,"AAAAAH/K/+I=")</f>
        <v>#REF!</v>
      </c>
      <c r="HT57" t="e">
        <f>AND(#REF!,"AAAAAH/K/+M=")</f>
        <v>#REF!</v>
      </c>
      <c r="HU57" t="e">
        <f>AND(#REF!,"AAAAAH/K/+Q=")</f>
        <v>#REF!</v>
      </c>
      <c r="HV57" t="e">
        <f>AND(#REF!,"AAAAAH/K/+U=")</f>
        <v>#REF!</v>
      </c>
      <c r="HW57" t="e">
        <f>AND(#REF!,"AAAAAH/K/+Y=")</f>
        <v>#REF!</v>
      </c>
      <c r="HX57" t="e">
        <f>AND(#REF!,"AAAAAH/K/+c=")</f>
        <v>#REF!</v>
      </c>
      <c r="HY57" t="e">
        <f>AND(#REF!,"AAAAAH/K/+g=")</f>
        <v>#REF!</v>
      </c>
      <c r="HZ57" t="e">
        <f>AND(#REF!,"AAAAAH/K/+k=")</f>
        <v>#REF!</v>
      </c>
      <c r="IA57" t="e">
        <f>AND(#REF!,"AAAAAH/K/+o=")</f>
        <v>#REF!</v>
      </c>
      <c r="IB57" t="e">
        <f>AND(#REF!,"AAAAAH/K/+s=")</f>
        <v>#REF!</v>
      </c>
      <c r="IC57" t="e">
        <f>AND(#REF!,"AAAAAH/K/+w=")</f>
        <v>#REF!</v>
      </c>
      <c r="ID57" t="e">
        <f>AND(#REF!,"AAAAAH/K/+0=")</f>
        <v>#REF!</v>
      </c>
      <c r="IE57" t="e">
        <f>AND(#REF!,"AAAAAH/K/+4=")</f>
        <v>#REF!</v>
      </c>
      <c r="IF57" t="e">
        <f>AND(#REF!,"AAAAAH/K/+8=")</f>
        <v>#REF!</v>
      </c>
      <c r="IG57" t="e">
        <f>AND(#REF!,"AAAAAH/K//A=")</f>
        <v>#REF!</v>
      </c>
      <c r="IH57" t="e">
        <f>AND(#REF!,"AAAAAH/K//E=")</f>
        <v>#REF!</v>
      </c>
      <c r="II57" t="e">
        <f>AND(#REF!,"AAAAAH/K//I=")</f>
        <v>#REF!</v>
      </c>
      <c r="IJ57" t="e">
        <f>AND(#REF!,"AAAAAH/K//M=")</f>
        <v>#REF!</v>
      </c>
      <c r="IK57" t="e">
        <f>AND(#REF!,"AAAAAH/K//Q=")</f>
        <v>#REF!</v>
      </c>
      <c r="IL57" t="e">
        <f>AND(#REF!,"AAAAAH/K//U=")</f>
        <v>#REF!</v>
      </c>
      <c r="IM57" t="e">
        <f>AND(#REF!,"AAAAAH/K//Y=")</f>
        <v>#REF!</v>
      </c>
      <c r="IN57" t="e">
        <f>AND(#REF!,"AAAAAH/K//c=")</f>
        <v>#REF!</v>
      </c>
      <c r="IO57" t="e">
        <f>AND(#REF!,"AAAAAH/K//g=")</f>
        <v>#REF!</v>
      </c>
      <c r="IP57" t="e">
        <f>AND(#REF!,"AAAAAH/K//k=")</f>
        <v>#REF!</v>
      </c>
      <c r="IQ57" t="e">
        <f>AND(#REF!,"AAAAAH/K//o=")</f>
        <v>#REF!</v>
      </c>
      <c r="IR57" t="e">
        <f>AND(#REF!,"AAAAAH/K//s=")</f>
        <v>#REF!</v>
      </c>
      <c r="IS57" t="e">
        <f>AND(#REF!,"AAAAAH/K//w=")</f>
        <v>#REF!</v>
      </c>
      <c r="IT57" t="e">
        <f>AND(#REF!,"AAAAAH/K//0=")</f>
        <v>#REF!</v>
      </c>
      <c r="IU57" t="e">
        <f>AND(#REF!,"AAAAAH/K//4=")</f>
        <v>#REF!</v>
      </c>
      <c r="IV57" t="e">
        <f>AND(#REF!,"AAAAAH/K//8=")</f>
        <v>#REF!</v>
      </c>
    </row>
    <row r="58" spans="1:256" x14ac:dyDescent="0.2">
      <c r="A58" t="e">
        <f>AND(#REF!,"AAAAAFdfegA=")</f>
        <v>#REF!</v>
      </c>
      <c r="B58" t="e">
        <f>AND(#REF!,"AAAAAFdfegE=")</f>
        <v>#REF!</v>
      </c>
      <c r="C58" t="e">
        <f>AND(#REF!,"AAAAAFdfegI=")</f>
        <v>#REF!</v>
      </c>
      <c r="D58" t="e">
        <f>AND(#REF!,"AAAAAFdfegM=")</f>
        <v>#REF!</v>
      </c>
      <c r="E58" t="e">
        <f>AND(#REF!,"AAAAAFdfegQ=")</f>
        <v>#REF!</v>
      </c>
      <c r="F58" t="e">
        <f>AND(#REF!,"AAAAAFdfegU=")</f>
        <v>#REF!</v>
      </c>
      <c r="G58" t="e">
        <f>AND(#REF!,"AAAAAFdfegY=")</f>
        <v>#REF!</v>
      </c>
      <c r="H58" t="e">
        <f>AND(#REF!,"AAAAAFdfegc=")</f>
        <v>#REF!</v>
      </c>
      <c r="I58" t="e">
        <f>AND(#REF!,"AAAAAFdfegg=")</f>
        <v>#REF!</v>
      </c>
      <c r="J58" t="e">
        <f>AND(#REF!,"AAAAAFdfegk=")</f>
        <v>#REF!</v>
      </c>
      <c r="K58" t="e">
        <f>AND(#REF!,"AAAAAFdfego=")</f>
        <v>#REF!</v>
      </c>
      <c r="L58" t="e">
        <f>AND(#REF!,"AAAAAFdfegs=")</f>
        <v>#REF!</v>
      </c>
      <c r="M58" t="e">
        <f>AND(#REF!,"AAAAAFdfegw=")</f>
        <v>#REF!</v>
      </c>
      <c r="N58" t="e">
        <f>AND(#REF!,"AAAAAFdfeg0=")</f>
        <v>#REF!</v>
      </c>
      <c r="O58" t="e">
        <f>AND(#REF!,"AAAAAFdfeg4=")</f>
        <v>#REF!</v>
      </c>
      <c r="P58" t="e">
        <f>AND(#REF!,"AAAAAFdfeg8=")</f>
        <v>#REF!</v>
      </c>
      <c r="Q58" t="e">
        <f>AND(#REF!,"AAAAAFdfehA=")</f>
        <v>#REF!</v>
      </c>
      <c r="R58" t="e">
        <f>AND(#REF!,"AAAAAFdfehE=")</f>
        <v>#REF!</v>
      </c>
      <c r="S58" t="e">
        <f>AND(#REF!,"AAAAAFdfehI=")</f>
        <v>#REF!</v>
      </c>
      <c r="T58" t="e">
        <f>AND(#REF!,"AAAAAFdfehM=")</f>
        <v>#REF!</v>
      </c>
      <c r="U58" t="e">
        <f>AND(#REF!,"AAAAAFdfehQ=")</f>
        <v>#REF!</v>
      </c>
      <c r="V58" t="e">
        <f>AND(#REF!,"AAAAAFdfehU=")</f>
        <v>#REF!</v>
      </c>
      <c r="W58" t="e">
        <f>AND(#REF!,"AAAAAFdfehY=")</f>
        <v>#REF!</v>
      </c>
      <c r="X58" t="e">
        <f>AND(#REF!,"AAAAAFdfehc=")</f>
        <v>#REF!</v>
      </c>
      <c r="Y58" t="e">
        <f>AND(#REF!,"AAAAAFdfehg=")</f>
        <v>#REF!</v>
      </c>
      <c r="Z58" t="e">
        <f>AND(#REF!,"AAAAAFdfehk=")</f>
        <v>#REF!</v>
      </c>
      <c r="AA58" t="e">
        <f>AND(#REF!,"AAAAAFdfeho=")</f>
        <v>#REF!</v>
      </c>
      <c r="AB58" t="e">
        <f>AND(#REF!,"AAAAAFdfehs=")</f>
        <v>#REF!</v>
      </c>
      <c r="AC58" t="e">
        <f>AND(#REF!,"AAAAAFdfehw=")</f>
        <v>#REF!</v>
      </c>
      <c r="AD58" t="e">
        <f>AND(#REF!,"AAAAAFdfeh0=")</f>
        <v>#REF!</v>
      </c>
      <c r="AE58" t="e">
        <f>AND(#REF!,"AAAAAFdfeh4=")</f>
        <v>#REF!</v>
      </c>
      <c r="AF58" t="e">
        <f>AND(#REF!,"AAAAAFdfeh8=")</f>
        <v>#REF!</v>
      </c>
      <c r="AG58" t="e">
        <f>AND(#REF!,"AAAAAFdfeiA=")</f>
        <v>#REF!</v>
      </c>
      <c r="AH58" t="e">
        <f>AND(#REF!,"AAAAAFdfeiE=")</f>
        <v>#REF!</v>
      </c>
      <c r="AI58" t="e">
        <f>AND(#REF!,"AAAAAFdfeiI=")</f>
        <v>#REF!</v>
      </c>
      <c r="AJ58" t="e">
        <f>AND(#REF!,"AAAAAFdfeiM=")</f>
        <v>#REF!</v>
      </c>
      <c r="AK58" t="e">
        <f>AND(#REF!,"AAAAAFdfeiQ=")</f>
        <v>#REF!</v>
      </c>
      <c r="AL58" t="e">
        <f>AND(#REF!,"AAAAAFdfeiU=")</f>
        <v>#REF!</v>
      </c>
      <c r="AM58" t="e">
        <f>AND(#REF!,"AAAAAFdfeiY=")</f>
        <v>#REF!</v>
      </c>
      <c r="AN58" t="e">
        <f>AND(#REF!,"AAAAAFdfeic=")</f>
        <v>#REF!</v>
      </c>
      <c r="AO58" t="e">
        <f>IF(#REF!,"AAAAAFdfeig=",0)</f>
        <v>#REF!</v>
      </c>
      <c r="AP58" t="e">
        <f>AND(#REF!,"AAAAAFdfeik=")</f>
        <v>#REF!</v>
      </c>
      <c r="AQ58" t="e">
        <f>AND(#REF!,"AAAAAFdfeio=")</f>
        <v>#REF!</v>
      </c>
      <c r="AR58" t="e">
        <f>AND(#REF!,"AAAAAFdfeis=")</f>
        <v>#REF!</v>
      </c>
      <c r="AS58" t="e">
        <f>AND(#REF!,"AAAAAFdfeiw=")</f>
        <v>#REF!</v>
      </c>
      <c r="AT58" t="e">
        <f>AND(#REF!,"AAAAAFdfei0=")</f>
        <v>#REF!</v>
      </c>
      <c r="AU58" t="e">
        <f>AND(#REF!,"AAAAAFdfei4=")</f>
        <v>#REF!</v>
      </c>
      <c r="AV58" t="e">
        <f>AND(#REF!,"AAAAAFdfei8=")</f>
        <v>#REF!</v>
      </c>
      <c r="AW58" t="e">
        <f>AND(#REF!,"AAAAAFdfejA=")</f>
        <v>#REF!</v>
      </c>
      <c r="AX58" t="e">
        <f>AND(#REF!,"AAAAAFdfejE=")</f>
        <v>#REF!</v>
      </c>
      <c r="AY58" t="e">
        <f>AND(#REF!,"AAAAAFdfejI=")</f>
        <v>#REF!</v>
      </c>
      <c r="AZ58" t="e">
        <f>AND(#REF!,"AAAAAFdfejM=")</f>
        <v>#REF!</v>
      </c>
      <c r="BA58" t="e">
        <f>AND(#REF!,"AAAAAFdfejQ=")</f>
        <v>#REF!</v>
      </c>
      <c r="BB58" t="e">
        <f>AND(#REF!,"AAAAAFdfejU=")</f>
        <v>#REF!</v>
      </c>
      <c r="BC58" t="e">
        <f>AND(#REF!,"AAAAAFdfejY=")</f>
        <v>#REF!</v>
      </c>
      <c r="BD58" t="e">
        <f>AND(#REF!,"AAAAAFdfejc=")</f>
        <v>#REF!</v>
      </c>
      <c r="BE58" t="e">
        <f>AND(#REF!,"AAAAAFdfejg=")</f>
        <v>#REF!</v>
      </c>
      <c r="BF58" t="e">
        <f>AND(#REF!,"AAAAAFdfejk=")</f>
        <v>#REF!</v>
      </c>
      <c r="BG58" t="e">
        <f>AND(#REF!,"AAAAAFdfejo=")</f>
        <v>#REF!</v>
      </c>
      <c r="BH58" t="e">
        <f>AND(#REF!,"AAAAAFdfejs=")</f>
        <v>#REF!</v>
      </c>
      <c r="BI58" t="e">
        <f>AND(#REF!,"AAAAAFdfejw=")</f>
        <v>#REF!</v>
      </c>
      <c r="BJ58" t="e">
        <f>AND(#REF!,"AAAAAFdfej0=")</f>
        <v>#REF!</v>
      </c>
      <c r="BK58" t="e">
        <f>AND(#REF!,"AAAAAFdfej4=")</f>
        <v>#REF!</v>
      </c>
      <c r="BL58" t="e">
        <f>AND(#REF!,"AAAAAFdfej8=")</f>
        <v>#REF!</v>
      </c>
      <c r="BM58" t="e">
        <f>AND(#REF!,"AAAAAFdfekA=")</f>
        <v>#REF!</v>
      </c>
      <c r="BN58" t="e">
        <f>AND(#REF!,"AAAAAFdfekE=")</f>
        <v>#REF!</v>
      </c>
      <c r="BO58" t="e">
        <f>AND(#REF!,"AAAAAFdfekI=")</f>
        <v>#REF!</v>
      </c>
      <c r="BP58" t="e">
        <f>AND(#REF!,"AAAAAFdfekM=")</f>
        <v>#REF!</v>
      </c>
      <c r="BQ58" t="e">
        <f>AND(#REF!,"AAAAAFdfekQ=")</f>
        <v>#REF!</v>
      </c>
      <c r="BR58" t="e">
        <f>AND(#REF!,"AAAAAFdfekU=")</f>
        <v>#REF!</v>
      </c>
      <c r="BS58" t="e">
        <f>AND(#REF!,"AAAAAFdfekY=")</f>
        <v>#REF!</v>
      </c>
      <c r="BT58" t="e">
        <f>AND(#REF!,"AAAAAFdfekc=")</f>
        <v>#REF!</v>
      </c>
      <c r="BU58" t="e">
        <f>AND(#REF!,"AAAAAFdfekg=")</f>
        <v>#REF!</v>
      </c>
      <c r="BV58" t="e">
        <f>AND(#REF!,"AAAAAFdfekk=")</f>
        <v>#REF!</v>
      </c>
      <c r="BW58" t="e">
        <f>AND(#REF!,"AAAAAFdfeko=")</f>
        <v>#REF!</v>
      </c>
      <c r="BX58" t="e">
        <f>AND(#REF!,"AAAAAFdfeks=")</f>
        <v>#REF!</v>
      </c>
      <c r="BY58" t="e">
        <f>AND(#REF!,"AAAAAFdfekw=")</f>
        <v>#REF!</v>
      </c>
      <c r="BZ58" t="e">
        <f>AND(#REF!,"AAAAAFdfek0=")</f>
        <v>#REF!</v>
      </c>
      <c r="CA58" t="e">
        <f>AND(#REF!,"AAAAAFdfek4=")</f>
        <v>#REF!</v>
      </c>
      <c r="CB58" t="e">
        <f>AND(#REF!,"AAAAAFdfek8=")</f>
        <v>#REF!</v>
      </c>
      <c r="CC58" t="e">
        <f>AND(#REF!,"AAAAAFdfelA=")</f>
        <v>#REF!</v>
      </c>
      <c r="CD58" t="e">
        <f>AND(#REF!,"AAAAAFdfelE=")</f>
        <v>#REF!</v>
      </c>
      <c r="CE58" t="e">
        <f>AND(#REF!,"AAAAAFdfelI=")</f>
        <v>#REF!</v>
      </c>
      <c r="CF58" t="e">
        <f>AND(#REF!,"AAAAAFdfelM=")</f>
        <v>#REF!</v>
      </c>
      <c r="CG58" t="e">
        <f>AND(#REF!,"AAAAAFdfelQ=")</f>
        <v>#REF!</v>
      </c>
      <c r="CH58" t="e">
        <f>AND(#REF!,"AAAAAFdfelU=")</f>
        <v>#REF!</v>
      </c>
      <c r="CI58" t="e">
        <f>AND(#REF!,"AAAAAFdfelY=")</f>
        <v>#REF!</v>
      </c>
      <c r="CJ58" t="e">
        <f>AND(#REF!,"AAAAAFdfelc=")</f>
        <v>#REF!</v>
      </c>
      <c r="CK58" t="e">
        <f>AND(#REF!,"AAAAAFdfelg=")</f>
        <v>#REF!</v>
      </c>
      <c r="CL58" t="e">
        <f>AND(#REF!,"AAAAAFdfelk=")</f>
        <v>#REF!</v>
      </c>
      <c r="CM58" t="e">
        <f>AND(#REF!,"AAAAAFdfelo=")</f>
        <v>#REF!</v>
      </c>
      <c r="CN58" t="e">
        <f>AND(#REF!,"AAAAAFdfels=")</f>
        <v>#REF!</v>
      </c>
      <c r="CO58" t="e">
        <f>AND(#REF!,"AAAAAFdfelw=")</f>
        <v>#REF!</v>
      </c>
      <c r="CP58" t="e">
        <f>AND(#REF!,"AAAAAFdfel0=")</f>
        <v>#REF!</v>
      </c>
      <c r="CQ58" t="e">
        <f>AND(#REF!,"AAAAAFdfel4=")</f>
        <v>#REF!</v>
      </c>
      <c r="CR58" t="e">
        <f>AND(#REF!,"AAAAAFdfel8=")</f>
        <v>#REF!</v>
      </c>
      <c r="CS58" t="e">
        <f>AND(#REF!,"AAAAAFdfemA=")</f>
        <v>#REF!</v>
      </c>
      <c r="CT58" t="e">
        <f>AND(#REF!,"AAAAAFdfemE=")</f>
        <v>#REF!</v>
      </c>
      <c r="CU58" t="e">
        <f>AND(#REF!,"AAAAAFdfemI=")</f>
        <v>#REF!</v>
      </c>
      <c r="CV58" t="e">
        <f>AND(#REF!,"AAAAAFdfemM=")</f>
        <v>#REF!</v>
      </c>
      <c r="CW58" t="e">
        <f>AND(#REF!,"AAAAAFdfemQ=")</f>
        <v>#REF!</v>
      </c>
      <c r="CX58" t="e">
        <f>AND(#REF!,"AAAAAFdfemU=")</f>
        <v>#REF!</v>
      </c>
      <c r="CY58" t="e">
        <f>AND(#REF!,"AAAAAFdfemY=")</f>
        <v>#REF!</v>
      </c>
      <c r="CZ58" t="e">
        <f>AND(#REF!,"AAAAAFdfemc=")</f>
        <v>#REF!</v>
      </c>
      <c r="DA58" t="e">
        <f>AND(#REF!,"AAAAAFdfemg=")</f>
        <v>#REF!</v>
      </c>
      <c r="DB58" t="e">
        <f>AND(#REF!,"AAAAAFdfemk=")</f>
        <v>#REF!</v>
      </c>
      <c r="DC58" t="e">
        <f>AND(#REF!,"AAAAAFdfemo=")</f>
        <v>#REF!</v>
      </c>
      <c r="DD58" t="e">
        <f>AND(#REF!,"AAAAAFdfems=")</f>
        <v>#REF!</v>
      </c>
      <c r="DE58" t="e">
        <f>AND(#REF!,"AAAAAFdfemw=")</f>
        <v>#REF!</v>
      </c>
      <c r="DF58" t="e">
        <f>AND(#REF!,"AAAAAFdfem0=")</f>
        <v>#REF!</v>
      </c>
      <c r="DG58" t="e">
        <f>AND(#REF!,"AAAAAFdfem4=")</f>
        <v>#REF!</v>
      </c>
      <c r="DH58" t="e">
        <f>AND(#REF!,"AAAAAFdfem8=")</f>
        <v>#REF!</v>
      </c>
      <c r="DI58" t="e">
        <f>AND(#REF!,"AAAAAFdfenA=")</f>
        <v>#REF!</v>
      </c>
      <c r="DJ58" t="e">
        <f>AND(#REF!,"AAAAAFdfenE=")</f>
        <v>#REF!</v>
      </c>
      <c r="DK58" t="e">
        <f>AND(#REF!,"AAAAAFdfenI=")</f>
        <v>#REF!</v>
      </c>
      <c r="DL58" t="e">
        <f>IF(#REF!,"AAAAAFdfenM=",0)</f>
        <v>#REF!</v>
      </c>
      <c r="DM58" t="e">
        <f>AND(#REF!,"AAAAAFdfenQ=")</f>
        <v>#REF!</v>
      </c>
      <c r="DN58" t="e">
        <f>AND(#REF!,"AAAAAFdfenU=")</f>
        <v>#REF!</v>
      </c>
      <c r="DO58" t="e">
        <f>AND(#REF!,"AAAAAFdfenY=")</f>
        <v>#REF!</v>
      </c>
      <c r="DP58" t="e">
        <f>AND(#REF!,"AAAAAFdfenc=")</f>
        <v>#REF!</v>
      </c>
      <c r="DQ58" t="e">
        <f>AND(#REF!,"AAAAAFdfeng=")</f>
        <v>#REF!</v>
      </c>
      <c r="DR58" t="e">
        <f>AND(#REF!,"AAAAAFdfenk=")</f>
        <v>#REF!</v>
      </c>
      <c r="DS58" t="e">
        <f>AND(#REF!,"AAAAAFdfeno=")</f>
        <v>#REF!</v>
      </c>
      <c r="DT58" t="e">
        <f>AND(#REF!,"AAAAAFdfens=")</f>
        <v>#REF!</v>
      </c>
      <c r="DU58" t="e">
        <f>AND(#REF!,"AAAAAFdfenw=")</f>
        <v>#REF!</v>
      </c>
      <c r="DV58" t="e">
        <f>AND(#REF!,"AAAAAFdfen0=")</f>
        <v>#REF!</v>
      </c>
      <c r="DW58" t="e">
        <f>AND(#REF!,"AAAAAFdfen4=")</f>
        <v>#REF!</v>
      </c>
      <c r="DX58" t="e">
        <f>AND(#REF!,"AAAAAFdfen8=")</f>
        <v>#REF!</v>
      </c>
      <c r="DY58" t="e">
        <f>AND(#REF!,"AAAAAFdfeoA=")</f>
        <v>#REF!</v>
      </c>
      <c r="DZ58" t="e">
        <f>AND(#REF!,"AAAAAFdfeoE=")</f>
        <v>#REF!</v>
      </c>
      <c r="EA58" t="e">
        <f>AND(#REF!,"AAAAAFdfeoI=")</f>
        <v>#REF!</v>
      </c>
      <c r="EB58" t="e">
        <f>AND(#REF!,"AAAAAFdfeoM=")</f>
        <v>#REF!</v>
      </c>
      <c r="EC58" t="e">
        <f>AND(#REF!,"AAAAAFdfeoQ=")</f>
        <v>#REF!</v>
      </c>
      <c r="ED58" t="e">
        <f>AND(#REF!,"AAAAAFdfeoU=")</f>
        <v>#REF!</v>
      </c>
      <c r="EE58" t="e">
        <f>AND(#REF!,"AAAAAFdfeoY=")</f>
        <v>#REF!</v>
      </c>
      <c r="EF58" t="e">
        <f>AND(#REF!,"AAAAAFdfeoc=")</f>
        <v>#REF!</v>
      </c>
      <c r="EG58" t="e">
        <f>AND(#REF!,"AAAAAFdfeog=")</f>
        <v>#REF!</v>
      </c>
      <c r="EH58" t="e">
        <f>AND(#REF!,"AAAAAFdfeok=")</f>
        <v>#REF!</v>
      </c>
      <c r="EI58" t="e">
        <f>AND(#REF!,"AAAAAFdfeoo=")</f>
        <v>#REF!</v>
      </c>
      <c r="EJ58" t="e">
        <f>AND(#REF!,"AAAAAFdfeos=")</f>
        <v>#REF!</v>
      </c>
      <c r="EK58" t="e">
        <f>AND(#REF!,"AAAAAFdfeow=")</f>
        <v>#REF!</v>
      </c>
      <c r="EL58" t="e">
        <f>AND(#REF!,"AAAAAFdfeo0=")</f>
        <v>#REF!</v>
      </c>
      <c r="EM58" t="e">
        <f>AND(#REF!,"AAAAAFdfeo4=")</f>
        <v>#REF!</v>
      </c>
      <c r="EN58" t="e">
        <f>AND(#REF!,"AAAAAFdfeo8=")</f>
        <v>#REF!</v>
      </c>
      <c r="EO58" t="e">
        <f>AND(#REF!,"AAAAAFdfepA=")</f>
        <v>#REF!</v>
      </c>
      <c r="EP58" t="e">
        <f>AND(#REF!,"AAAAAFdfepE=")</f>
        <v>#REF!</v>
      </c>
      <c r="EQ58" t="e">
        <f>AND(#REF!,"AAAAAFdfepI=")</f>
        <v>#REF!</v>
      </c>
      <c r="ER58" t="e">
        <f>AND(#REF!,"AAAAAFdfepM=")</f>
        <v>#REF!</v>
      </c>
      <c r="ES58" t="e">
        <f>AND(#REF!,"AAAAAFdfepQ=")</f>
        <v>#REF!</v>
      </c>
      <c r="ET58" t="e">
        <f>AND(#REF!,"AAAAAFdfepU=")</f>
        <v>#REF!</v>
      </c>
      <c r="EU58" t="e">
        <f>AND(#REF!,"AAAAAFdfepY=")</f>
        <v>#REF!</v>
      </c>
      <c r="EV58" t="e">
        <f>AND(#REF!,"AAAAAFdfepc=")</f>
        <v>#REF!</v>
      </c>
      <c r="EW58" t="e">
        <f>AND(#REF!,"AAAAAFdfepg=")</f>
        <v>#REF!</v>
      </c>
      <c r="EX58" t="e">
        <f>AND(#REF!,"AAAAAFdfepk=")</f>
        <v>#REF!</v>
      </c>
      <c r="EY58" t="e">
        <f>AND(#REF!,"AAAAAFdfepo=")</f>
        <v>#REF!</v>
      </c>
      <c r="EZ58" t="e">
        <f>AND(#REF!,"AAAAAFdfeps=")</f>
        <v>#REF!</v>
      </c>
      <c r="FA58" t="e">
        <f>AND(#REF!,"AAAAAFdfepw=")</f>
        <v>#REF!</v>
      </c>
      <c r="FB58" t="e">
        <f>AND(#REF!,"AAAAAFdfep0=")</f>
        <v>#REF!</v>
      </c>
      <c r="FC58" t="e">
        <f>AND(#REF!,"AAAAAFdfep4=")</f>
        <v>#REF!</v>
      </c>
      <c r="FD58" t="e">
        <f>AND(#REF!,"AAAAAFdfep8=")</f>
        <v>#REF!</v>
      </c>
      <c r="FE58" t="e">
        <f>AND(#REF!,"AAAAAFdfeqA=")</f>
        <v>#REF!</v>
      </c>
      <c r="FF58" t="e">
        <f>AND(#REF!,"AAAAAFdfeqE=")</f>
        <v>#REF!</v>
      </c>
      <c r="FG58" t="e">
        <f>AND(#REF!,"AAAAAFdfeqI=")</f>
        <v>#REF!</v>
      </c>
      <c r="FH58" t="e">
        <f>AND(#REF!,"AAAAAFdfeqM=")</f>
        <v>#REF!</v>
      </c>
      <c r="FI58" t="e">
        <f>AND(#REF!,"AAAAAFdfeqQ=")</f>
        <v>#REF!</v>
      </c>
      <c r="FJ58" t="e">
        <f>AND(#REF!,"AAAAAFdfeqU=")</f>
        <v>#REF!</v>
      </c>
      <c r="FK58" t="e">
        <f>AND(#REF!,"AAAAAFdfeqY=")</f>
        <v>#REF!</v>
      </c>
      <c r="FL58" t="e">
        <f>AND(#REF!,"AAAAAFdfeqc=")</f>
        <v>#REF!</v>
      </c>
      <c r="FM58" t="e">
        <f>AND(#REF!,"AAAAAFdfeqg=")</f>
        <v>#REF!</v>
      </c>
      <c r="FN58" t="e">
        <f>AND(#REF!,"AAAAAFdfeqk=")</f>
        <v>#REF!</v>
      </c>
      <c r="FO58" t="e">
        <f>AND(#REF!,"AAAAAFdfeqo=")</f>
        <v>#REF!</v>
      </c>
      <c r="FP58" t="e">
        <f>AND(#REF!,"AAAAAFdfeqs=")</f>
        <v>#REF!</v>
      </c>
      <c r="FQ58" t="e">
        <f>AND(#REF!,"AAAAAFdfeqw=")</f>
        <v>#REF!</v>
      </c>
      <c r="FR58" t="e">
        <f>AND(#REF!,"AAAAAFdfeq0=")</f>
        <v>#REF!</v>
      </c>
      <c r="FS58" t="e">
        <f>AND(#REF!,"AAAAAFdfeq4=")</f>
        <v>#REF!</v>
      </c>
      <c r="FT58" t="e">
        <f>AND(#REF!,"AAAAAFdfeq8=")</f>
        <v>#REF!</v>
      </c>
      <c r="FU58" t="e">
        <f>AND(#REF!,"AAAAAFdferA=")</f>
        <v>#REF!</v>
      </c>
      <c r="FV58" t="e">
        <f>AND(#REF!,"AAAAAFdferE=")</f>
        <v>#REF!</v>
      </c>
      <c r="FW58" t="e">
        <f>AND(#REF!,"AAAAAFdferI=")</f>
        <v>#REF!</v>
      </c>
      <c r="FX58" t="e">
        <f>AND(#REF!,"AAAAAFdferM=")</f>
        <v>#REF!</v>
      </c>
      <c r="FY58" t="e">
        <f>AND(#REF!,"AAAAAFdferQ=")</f>
        <v>#REF!</v>
      </c>
      <c r="FZ58" t="e">
        <f>AND(#REF!,"AAAAAFdferU=")</f>
        <v>#REF!</v>
      </c>
      <c r="GA58" t="e">
        <f>AND(#REF!,"AAAAAFdferY=")</f>
        <v>#REF!</v>
      </c>
      <c r="GB58" t="e">
        <f>AND(#REF!,"AAAAAFdferc=")</f>
        <v>#REF!</v>
      </c>
      <c r="GC58" t="e">
        <f>AND(#REF!,"AAAAAFdferg=")</f>
        <v>#REF!</v>
      </c>
      <c r="GD58" t="e">
        <f>AND(#REF!,"AAAAAFdferk=")</f>
        <v>#REF!</v>
      </c>
      <c r="GE58" t="e">
        <f>AND(#REF!,"AAAAAFdfero=")</f>
        <v>#REF!</v>
      </c>
      <c r="GF58" t="e">
        <f>AND(#REF!,"AAAAAFdfers=")</f>
        <v>#REF!</v>
      </c>
      <c r="GG58" t="e">
        <f>AND(#REF!,"AAAAAFdferw=")</f>
        <v>#REF!</v>
      </c>
      <c r="GH58" t="e">
        <f>AND(#REF!,"AAAAAFdfer0=")</f>
        <v>#REF!</v>
      </c>
      <c r="GI58" t="e">
        <f>IF(#REF!,"AAAAAFdfer4=",0)</f>
        <v>#REF!</v>
      </c>
      <c r="GJ58" t="e">
        <f>AND(#REF!,"AAAAAFdfer8=")</f>
        <v>#REF!</v>
      </c>
      <c r="GK58" t="e">
        <f>AND(#REF!,"AAAAAFdfesA=")</f>
        <v>#REF!</v>
      </c>
      <c r="GL58" t="e">
        <f>AND(#REF!,"AAAAAFdfesE=")</f>
        <v>#REF!</v>
      </c>
      <c r="GM58" t="e">
        <f>AND(#REF!,"AAAAAFdfesI=")</f>
        <v>#REF!</v>
      </c>
      <c r="GN58" t="e">
        <f>AND(#REF!,"AAAAAFdfesM=")</f>
        <v>#REF!</v>
      </c>
      <c r="GO58" t="e">
        <f>AND(#REF!,"AAAAAFdfesQ=")</f>
        <v>#REF!</v>
      </c>
      <c r="GP58" t="e">
        <f>AND(#REF!,"AAAAAFdfesU=")</f>
        <v>#REF!</v>
      </c>
      <c r="GQ58" t="e">
        <f>AND(#REF!,"AAAAAFdfesY=")</f>
        <v>#REF!</v>
      </c>
      <c r="GR58" t="e">
        <f>AND(#REF!,"AAAAAFdfesc=")</f>
        <v>#REF!</v>
      </c>
      <c r="GS58" t="e">
        <f>AND(#REF!,"AAAAAFdfesg=")</f>
        <v>#REF!</v>
      </c>
      <c r="GT58" t="e">
        <f>AND(#REF!,"AAAAAFdfesk=")</f>
        <v>#REF!</v>
      </c>
      <c r="GU58" t="e">
        <f>AND(#REF!,"AAAAAFdfeso=")</f>
        <v>#REF!</v>
      </c>
      <c r="GV58" t="e">
        <f>AND(#REF!,"AAAAAFdfess=")</f>
        <v>#REF!</v>
      </c>
      <c r="GW58" t="e">
        <f>AND(#REF!,"AAAAAFdfesw=")</f>
        <v>#REF!</v>
      </c>
      <c r="GX58" t="e">
        <f>AND(#REF!,"AAAAAFdfes0=")</f>
        <v>#REF!</v>
      </c>
      <c r="GY58" t="e">
        <f>AND(#REF!,"AAAAAFdfes4=")</f>
        <v>#REF!</v>
      </c>
      <c r="GZ58" t="e">
        <f>AND(#REF!,"AAAAAFdfes8=")</f>
        <v>#REF!</v>
      </c>
      <c r="HA58" t="e">
        <f>AND(#REF!,"AAAAAFdfetA=")</f>
        <v>#REF!</v>
      </c>
      <c r="HB58" t="e">
        <f>AND(#REF!,"AAAAAFdfetE=")</f>
        <v>#REF!</v>
      </c>
      <c r="HC58" t="e">
        <f>AND(#REF!,"AAAAAFdfetI=")</f>
        <v>#REF!</v>
      </c>
      <c r="HD58" t="e">
        <f>AND(#REF!,"AAAAAFdfetM=")</f>
        <v>#REF!</v>
      </c>
      <c r="HE58" t="e">
        <f>AND(#REF!,"AAAAAFdfetQ=")</f>
        <v>#REF!</v>
      </c>
      <c r="HF58" t="e">
        <f>AND(#REF!,"AAAAAFdfetU=")</f>
        <v>#REF!</v>
      </c>
      <c r="HG58" t="e">
        <f>AND(#REF!,"AAAAAFdfetY=")</f>
        <v>#REF!</v>
      </c>
      <c r="HH58" t="e">
        <f>AND(#REF!,"AAAAAFdfetc=")</f>
        <v>#REF!</v>
      </c>
      <c r="HI58" t="e">
        <f>AND(#REF!,"AAAAAFdfetg=")</f>
        <v>#REF!</v>
      </c>
      <c r="HJ58" t="e">
        <f>AND(#REF!,"AAAAAFdfetk=")</f>
        <v>#REF!</v>
      </c>
      <c r="HK58" t="e">
        <f>AND(#REF!,"AAAAAFdfeto=")</f>
        <v>#REF!</v>
      </c>
      <c r="HL58" t="e">
        <f>AND(#REF!,"AAAAAFdfets=")</f>
        <v>#REF!</v>
      </c>
      <c r="HM58" t="e">
        <f>AND(#REF!,"AAAAAFdfetw=")</f>
        <v>#REF!</v>
      </c>
      <c r="HN58" t="e">
        <f>AND(#REF!,"AAAAAFdfet0=")</f>
        <v>#REF!</v>
      </c>
      <c r="HO58" t="e">
        <f>AND(#REF!,"AAAAAFdfet4=")</f>
        <v>#REF!</v>
      </c>
      <c r="HP58" t="e">
        <f>AND(#REF!,"AAAAAFdfet8=")</f>
        <v>#REF!</v>
      </c>
      <c r="HQ58" t="e">
        <f>AND(#REF!,"AAAAAFdfeuA=")</f>
        <v>#REF!</v>
      </c>
      <c r="HR58" t="e">
        <f>AND(#REF!,"AAAAAFdfeuE=")</f>
        <v>#REF!</v>
      </c>
      <c r="HS58" t="e">
        <f>AND(#REF!,"AAAAAFdfeuI=")</f>
        <v>#REF!</v>
      </c>
      <c r="HT58" t="e">
        <f>AND(#REF!,"AAAAAFdfeuM=")</f>
        <v>#REF!</v>
      </c>
      <c r="HU58" t="e">
        <f>AND(#REF!,"AAAAAFdfeuQ=")</f>
        <v>#REF!</v>
      </c>
      <c r="HV58" t="e">
        <f>AND(#REF!,"AAAAAFdfeuU=")</f>
        <v>#REF!</v>
      </c>
      <c r="HW58" t="e">
        <f>AND(#REF!,"AAAAAFdfeuY=")</f>
        <v>#REF!</v>
      </c>
      <c r="HX58" t="e">
        <f>AND(#REF!,"AAAAAFdfeuc=")</f>
        <v>#REF!</v>
      </c>
      <c r="HY58" t="e">
        <f>AND(#REF!,"AAAAAFdfeug=")</f>
        <v>#REF!</v>
      </c>
      <c r="HZ58" t="e">
        <f>AND(#REF!,"AAAAAFdfeuk=")</f>
        <v>#REF!</v>
      </c>
      <c r="IA58" t="e">
        <f>AND(#REF!,"AAAAAFdfeuo=")</f>
        <v>#REF!</v>
      </c>
      <c r="IB58" t="e">
        <f>AND(#REF!,"AAAAAFdfeus=")</f>
        <v>#REF!</v>
      </c>
      <c r="IC58" t="e">
        <f>AND(#REF!,"AAAAAFdfeuw=")</f>
        <v>#REF!</v>
      </c>
      <c r="ID58" t="e">
        <f>AND(#REF!,"AAAAAFdfeu0=")</f>
        <v>#REF!</v>
      </c>
      <c r="IE58" t="e">
        <f>AND(#REF!,"AAAAAFdfeu4=")</f>
        <v>#REF!</v>
      </c>
      <c r="IF58" t="e">
        <f>AND(#REF!,"AAAAAFdfeu8=")</f>
        <v>#REF!</v>
      </c>
      <c r="IG58" t="e">
        <f>AND(#REF!,"AAAAAFdfevA=")</f>
        <v>#REF!</v>
      </c>
      <c r="IH58" t="e">
        <f>AND(#REF!,"AAAAAFdfevE=")</f>
        <v>#REF!</v>
      </c>
      <c r="II58" t="e">
        <f>AND(#REF!,"AAAAAFdfevI=")</f>
        <v>#REF!</v>
      </c>
      <c r="IJ58" t="e">
        <f>AND(#REF!,"AAAAAFdfevM=")</f>
        <v>#REF!</v>
      </c>
      <c r="IK58" t="e">
        <f>AND(#REF!,"AAAAAFdfevQ=")</f>
        <v>#REF!</v>
      </c>
      <c r="IL58" t="e">
        <f>AND(#REF!,"AAAAAFdfevU=")</f>
        <v>#REF!</v>
      </c>
      <c r="IM58" t="e">
        <f>AND(#REF!,"AAAAAFdfevY=")</f>
        <v>#REF!</v>
      </c>
      <c r="IN58" t="e">
        <f>AND(#REF!,"AAAAAFdfevc=")</f>
        <v>#REF!</v>
      </c>
      <c r="IO58" t="e">
        <f>AND(#REF!,"AAAAAFdfevg=")</f>
        <v>#REF!</v>
      </c>
      <c r="IP58" t="e">
        <f>AND(#REF!,"AAAAAFdfevk=")</f>
        <v>#REF!</v>
      </c>
      <c r="IQ58" t="e">
        <f>AND(#REF!,"AAAAAFdfevo=")</f>
        <v>#REF!</v>
      </c>
      <c r="IR58" t="e">
        <f>AND(#REF!,"AAAAAFdfevs=")</f>
        <v>#REF!</v>
      </c>
      <c r="IS58" t="e">
        <f>AND(#REF!,"AAAAAFdfevw=")</f>
        <v>#REF!</v>
      </c>
      <c r="IT58" t="e">
        <f>AND(#REF!,"AAAAAFdfev0=")</f>
        <v>#REF!</v>
      </c>
      <c r="IU58" t="e">
        <f>AND(#REF!,"AAAAAFdfev4=")</f>
        <v>#REF!</v>
      </c>
      <c r="IV58" t="e">
        <f>AND(#REF!,"AAAAAFdfev8=")</f>
        <v>#REF!</v>
      </c>
    </row>
    <row r="59" spans="1:256" x14ac:dyDescent="0.2">
      <c r="A59" t="e">
        <f>AND(#REF!,"AAAAAFe55gA=")</f>
        <v>#REF!</v>
      </c>
      <c r="B59" t="e">
        <f>AND(#REF!,"AAAAAFe55gE=")</f>
        <v>#REF!</v>
      </c>
      <c r="C59" t="e">
        <f>AND(#REF!,"AAAAAFe55gI=")</f>
        <v>#REF!</v>
      </c>
      <c r="D59" t="e">
        <f>AND(#REF!,"AAAAAFe55gM=")</f>
        <v>#REF!</v>
      </c>
      <c r="E59" t="e">
        <f>AND(#REF!,"AAAAAFe55gQ=")</f>
        <v>#REF!</v>
      </c>
      <c r="F59" t="e">
        <f>AND(#REF!,"AAAAAFe55gU=")</f>
        <v>#REF!</v>
      </c>
      <c r="G59" t="e">
        <f>AND(#REF!,"AAAAAFe55gY=")</f>
        <v>#REF!</v>
      </c>
      <c r="H59" t="e">
        <f>AND(#REF!,"AAAAAFe55gc=")</f>
        <v>#REF!</v>
      </c>
      <c r="I59" t="e">
        <f>AND(#REF!,"AAAAAFe55gg=")</f>
        <v>#REF!</v>
      </c>
      <c r="J59" t="e">
        <f>IF(#REF!,"AAAAAFe55gk=",0)</f>
        <v>#REF!</v>
      </c>
      <c r="K59" t="e">
        <f>AND(#REF!,"AAAAAFe55go=")</f>
        <v>#REF!</v>
      </c>
      <c r="L59" t="e">
        <f>AND(#REF!,"AAAAAFe55gs=")</f>
        <v>#REF!</v>
      </c>
      <c r="M59" t="e">
        <f>IF(#REF!,"AAAAAFe55gw=",0)</f>
        <v>#REF!</v>
      </c>
      <c r="N59" t="e">
        <f>AND(#REF!,"AAAAAFe55g0=")</f>
        <v>#REF!</v>
      </c>
      <c r="O59" t="e">
        <f>AND(#REF!,"AAAAAFe55g4=")</f>
        <v>#REF!</v>
      </c>
      <c r="P59" t="e">
        <f>IF(#REF!,"AAAAAFe55g8=",0)</f>
        <v>#REF!</v>
      </c>
      <c r="Q59" t="e">
        <f>AND(#REF!,"AAAAAFe55hA=")</f>
        <v>#REF!</v>
      </c>
      <c r="R59" t="e">
        <f>AND(#REF!,"AAAAAFe55hE=")</f>
        <v>#REF!</v>
      </c>
      <c r="S59" t="e">
        <f>IF(#REF!,"AAAAAFe55hI=",0)</f>
        <v>#REF!</v>
      </c>
      <c r="T59" t="e">
        <f>AND(#REF!,"AAAAAFe55hM=")</f>
        <v>#REF!</v>
      </c>
      <c r="U59" t="e">
        <f>AND(#REF!,"AAAAAFe55hQ=")</f>
        <v>#REF!</v>
      </c>
      <c r="V59" t="e">
        <f>IF(#REF!,"AAAAAFe55hU=",0)</f>
        <v>#REF!</v>
      </c>
      <c r="W59" t="e">
        <f>AND(#REF!,"AAAAAFe55hY=")</f>
        <v>#REF!</v>
      </c>
      <c r="X59" t="e">
        <f>AND(#REF!,"AAAAAFe55hc=")</f>
        <v>#REF!</v>
      </c>
      <c r="Y59" t="e">
        <f>IF(#REF!,"AAAAAFe55hg=",0)</f>
        <v>#REF!</v>
      </c>
      <c r="Z59" t="e">
        <f>AND(#REF!,"AAAAAFe55hk=")</f>
        <v>#REF!</v>
      </c>
      <c r="AA59" t="e">
        <f>AND(#REF!,"AAAAAFe55ho=")</f>
        <v>#REF!</v>
      </c>
      <c r="AB59" t="e">
        <f>IF(#REF!,"AAAAAFe55hs=",0)</f>
        <v>#REF!</v>
      </c>
      <c r="AC59" t="e">
        <f>AND(#REF!,"AAAAAFe55hw=")</f>
        <v>#REF!</v>
      </c>
      <c r="AD59" t="e">
        <f>AND(#REF!,"AAAAAFe55h0=")</f>
        <v>#REF!</v>
      </c>
      <c r="AE59" t="e">
        <f>IF(#REF!,"AAAAAFe55h4=",0)</f>
        <v>#REF!</v>
      </c>
      <c r="AF59" t="e">
        <f>AND(#REF!,"AAAAAFe55h8=")</f>
        <v>#REF!</v>
      </c>
      <c r="AG59" t="e">
        <f>AND(#REF!,"AAAAAFe55iA=")</f>
        <v>#REF!</v>
      </c>
      <c r="AH59" t="e">
        <f>IF(#REF!,"AAAAAFe55iE=",0)</f>
        <v>#REF!</v>
      </c>
      <c r="AI59" t="e">
        <f>AND(#REF!,"AAAAAFe55iI=")</f>
        <v>#REF!</v>
      </c>
      <c r="AJ59" t="e">
        <f>AND(#REF!,"AAAAAFe55iM=")</f>
        <v>#REF!</v>
      </c>
      <c r="AK59" t="e">
        <f>IF(#REF!,"AAAAAFe55iQ=",0)</f>
        <v>#REF!</v>
      </c>
      <c r="AL59" t="e">
        <f>AND(#REF!,"AAAAAFe55iU=")</f>
        <v>#REF!</v>
      </c>
      <c r="AM59" t="e">
        <f>AND(#REF!,"AAAAAFe55iY=")</f>
        <v>#REF!</v>
      </c>
      <c r="AN59" t="e">
        <f>IF(#REF!,"AAAAAFe55ic=",0)</f>
        <v>#REF!</v>
      </c>
      <c r="AO59" t="e">
        <f>AND(#REF!,"AAAAAFe55ig=")</f>
        <v>#REF!</v>
      </c>
      <c r="AP59" t="e">
        <f>AND(#REF!,"AAAAAFe55ik=")</f>
        <v>#REF!</v>
      </c>
      <c r="AQ59" t="e">
        <f>IF(#REF!,"AAAAAFe55io=",0)</f>
        <v>#REF!</v>
      </c>
      <c r="AR59" t="e">
        <f>AND(#REF!,"AAAAAFe55is=")</f>
        <v>#REF!</v>
      </c>
      <c r="AS59" t="e">
        <f>AND(#REF!,"AAAAAFe55iw=")</f>
        <v>#REF!</v>
      </c>
      <c r="AT59" t="e">
        <f>IF(#REF!,"AAAAAFe55i0=",0)</f>
        <v>#REF!</v>
      </c>
      <c r="AU59" t="e">
        <f>AND(#REF!,"AAAAAFe55i4=")</f>
        <v>#REF!</v>
      </c>
      <c r="AV59" t="e">
        <f>AND(#REF!,"AAAAAFe55i8=")</f>
        <v>#REF!</v>
      </c>
      <c r="AW59" t="e">
        <f>IF(#REF!,"AAAAAFe55jA=",0)</f>
        <v>#REF!</v>
      </c>
      <c r="AX59" t="e">
        <f>AND(#REF!,"AAAAAFe55jE=")</f>
        <v>#REF!</v>
      </c>
      <c r="AY59" t="e">
        <f>AND(#REF!,"AAAAAFe55jI=")</f>
        <v>#REF!</v>
      </c>
      <c r="AZ59" t="e">
        <f>IF(#REF!,"AAAAAFe55jM=",0)</f>
        <v>#REF!</v>
      </c>
      <c r="BA59" t="e">
        <f>IF(#REF!,"AAAAAFe55jQ=",0)</f>
        <v>#REF!</v>
      </c>
      <c r="BB59" t="e">
        <f>IF(#REF!,"AAAAAFe55jU=",0)</f>
        <v>#REF!</v>
      </c>
      <c r="BC59" t="e">
        <f>IF(#REF!,"AAAAAFe55jY=",0)</f>
        <v>#REF!</v>
      </c>
      <c r="BD59" t="e">
        <f>IF(#REF!,"AAAAAFe55jc=",0)</f>
        <v>#REF!</v>
      </c>
      <c r="BE59" t="e">
        <f>IF(#REF!,"AAAAAFe55jg=",0)</f>
        <v>#REF!</v>
      </c>
      <c r="BF59" t="e">
        <f>IF(#REF!,"AAAAAFe55jk=",0)</f>
        <v>#REF!</v>
      </c>
      <c r="BG59" t="e">
        <f>IF(#REF!,"AAAAAFe55jo=",0)</f>
        <v>#REF!</v>
      </c>
      <c r="BH59" t="e">
        <f>IF(#REF!,"AAAAAFe55js=",0)</f>
        <v>#REF!</v>
      </c>
      <c r="BI59" t="e">
        <f>IF(#REF!,"AAAAAFe55jw=",0)</f>
        <v>#REF!</v>
      </c>
      <c r="BJ59" t="e">
        <f>IF(#REF!,"AAAAAFe55j0=",0)</f>
        <v>#REF!</v>
      </c>
      <c r="BK59" t="e">
        <f>IF(#REF!,"AAAAAFe55j4=",0)</f>
        <v>#REF!</v>
      </c>
      <c r="BL59" t="e">
        <f>IF(#REF!,"AAAAAFe55j8=",0)</f>
        <v>#REF!</v>
      </c>
      <c r="BM59" t="e">
        <f>IF(#REF!,"AAAAAFe55kA=",0)</f>
        <v>#REF!</v>
      </c>
      <c r="BN59" t="e">
        <f>IF(#REF!,"AAAAAFe55kE=",0)</f>
        <v>#REF!</v>
      </c>
      <c r="BO59" t="e">
        <f>IF(#REF!,"AAAAAFe55kI=",0)</f>
        <v>#REF!</v>
      </c>
      <c r="BP59" t="e">
        <f>IF(#REF!,"AAAAAFe55kM=",0)</f>
        <v>#REF!</v>
      </c>
      <c r="BQ59" t="e">
        <f>IF(#REF!,"AAAAAFe55kQ=",0)</f>
        <v>#REF!</v>
      </c>
      <c r="BR59" t="e">
        <f>IF(#REF!,"AAAAAFe55kU=",0)</f>
        <v>#REF!</v>
      </c>
      <c r="BS59" t="e">
        <f>IF(#REF!,"AAAAAFe55kY=",0)</f>
        <v>#REF!</v>
      </c>
      <c r="BT59" t="e">
        <f>IF(#REF!,"AAAAAFe55kc=",0)</f>
        <v>#REF!</v>
      </c>
      <c r="BU59" t="e">
        <f>IF(#REF!,"AAAAAFe55kg=",0)</f>
        <v>#REF!</v>
      </c>
      <c r="BV59" t="e">
        <f>IF(#REF!,"AAAAAFe55kk=",0)</f>
        <v>#REF!</v>
      </c>
      <c r="BW59" t="e">
        <f>IF(#REF!,"AAAAAFe55ko=",0)</f>
        <v>#REF!</v>
      </c>
      <c r="BX59" t="e">
        <f>IF(#REF!,"AAAAAFe55ks=",0)</f>
        <v>#REF!</v>
      </c>
      <c r="BY59" t="e">
        <f>IF(#REF!,"AAAAAFe55kw=",0)</f>
        <v>#REF!</v>
      </c>
      <c r="BZ59" t="e">
        <f>IF(#REF!,"AAAAAFe55k0=",0)</f>
        <v>#REF!</v>
      </c>
      <c r="CA59" t="e">
        <f>IF(#REF!,"AAAAAFe55k4=",0)</f>
        <v>#REF!</v>
      </c>
      <c r="CB59" t="e">
        <f>IF(#REF!,"AAAAAFe55k8=",0)</f>
        <v>#REF!</v>
      </c>
      <c r="CC59" t="e">
        <f>IF(#REF!,"AAAAAFe55lA=",0)</f>
        <v>#REF!</v>
      </c>
      <c r="CD59" t="e">
        <f>IF(#REF!,"AAAAAFe55lE=",0)</f>
        <v>#REF!</v>
      </c>
      <c r="CE59" t="e">
        <f>IF(#REF!,"AAAAAFe55lI=",0)</f>
        <v>#REF!</v>
      </c>
      <c r="CF59" t="e">
        <f>IF(#REF!,"AAAAAFe55lM=",0)</f>
        <v>#REF!</v>
      </c>
      <c r="CG59" t="e">
        <f>IF(#REF!,"AAAAAFe55lQ=",0)</f>
        <v>#REF!</v>
      </c>
      <c r="CH59" t="e">
        <f>IF(#REF!,"AAAAAFe55lU=",0)</f>
        <v>#REF!</v>
      </c>
      <c r="CI59" t="e">
        <f>IF(#REF!,"AAAAAFe55lY=",0)</f>
        <v>#REF!</v>
      </c>
      <c r="CJ59" t="e">
        <f>IF(#REF!,"AAAAAFe55lc=",0)</f>
        <v>#REF!</v>
      </c>
      <c r="CK59" t="e">
        <f>IF(#REF!,"AAAAAFe55lg=",0)</f>
        <v>#REF!</v>
      </c>
      <c r="CL59" t="e">
        <f>IF(#REF!,"AAAAAFe55lk=",0)</f>
        <v>#REF!</v>
      </c>
      <c r="CM59" t="e">
        <f>IF(#REF!,"AAAAAFe55lo=",0)</f>
        <v>#REF!</v>
      </c>
      <c r="CN59" t="e">
        <f>IF(#REF!,"AAAAAFe55ls=",0)</f>
        <v>#REF!</v>
      </c>
      <c r="CO59" t="e">
        <f>IF(#REF!,"AAAAAFe55lw=",0)</f>
        <v>#REF!</v>
      </c>
      <c r="CP59" t="e">
        <f>IF(#REF!,"AAAAAFe55l0=",0)</f>
        <v>#REF!</v>
      </c>
      <c r="CQ59" t="e">
        <f>IF(#REF!,"AAAAAFe55l4=",0)</f>
        <v>#REF!</v>
      </c>
      <c r="CR59" t="e">
        <f>IF(#REF!,"AAAAAFe55l8=",0)</f>
        <v>#REF!</v>
      </c>
      <c r="CS59" t="e">
        <f>IF(#REF!,"AAAAAFe55mA=",0)</f>
        <v>#REF!</v>
      </c>
      <c r="CT59" t="e">
        <f>IF(#REF!,"AAAAAFe55mE=",0)</f>
        <v>#REF!</v>
      </c>
      <c r="CU59" t="e">
        <f>IF(#REF!,"AAAAAFe55mI=",0)</f>
        <v>#REF!</v>
      </c>
      <c r="CV59" t="e">
        <f>IF(#REF!,"AAAAAFe55mM=",0)</f>
        <v>#REF!</v>
      </c>
      <c r="CW59" t="e">
        <f>IF(#REF!,"AAAAAFe55mQ=",0)</f>
        <v>#REF!</v>
      </c>
      <c r="CX59" t="e">
        <f>IF(#REF!,"AAAAAFe55mU=",0)</f>
        <v>#REF!</v>
      </c>
      <c r="CY59" t="e">
        <f>IF(#REF!,"AAAAAFe55mY=",0)</f>
        <v>#REF!</v>
      </c>
      <c r="CZ59" t="e">
        <f>IF(#REF!,"AAAAAFe55mc=",0)</f>
        <v>#REF!</v>
      </c>
      <c r="DA59" t="e">
        <f>IF(#REF!,"AAAAAFe55mg=",0)</f>
        <v>#REF!</v>
      </c>
      <c r="DB59" t="e">
        <f>IF(#REF!,"AAAAAFe55mk=",0)</f>
        <v>#REF!</v>
      </c>
      <c r="DC59" t="e">
        <f>IF(#REF!,"AAAAAFe55mo=",0)</f>
        <v>#REF!</v>
      </c>
      <c r="DD59" t="e">
        <f>IF(#REF!,"AAAAAFe55ms=",0)</f>
        <v>#REF!</v>
      </c>
      <c r="DE59" t="e">
        <f>IF(#REF!,"AAAAAFe55mw=",0)</f>
        <v>#REF!</v>
      </c>
      <c r="DF59" t="e">
        <f>IF(#REF!,"AAAAAFe55m0=",0)</f>
        <v>#REF!</v>
      </c>
      <c r="DG59" t="e">
        <f>IF(#REF!,"AAAAAFe55m4=",0)</f>
        <v>#REF!</v>
      </c>
      <c r="DH59" t="e">
        <f>IF(#REF!,"AAAAAFe55m8=",0)</f>
        <v>#REF!</v>
      </c>
      <c r="DI59" t="e">
        <f>IF(#REF!,"AAAAAFe55nA=",0)</f>
        <v>#REF!</v>
      </c>
      <c r="DJ59" t="e">
        <f>IF(#REF!,"AAAAAFe55nE=",0)</f>
        <v>#REF!</v>
      </c>
      <c r="DK59" t="e">
        <f>IF(#REF!,"AAAAAFe55nI=",0)</f>
        <v>#REF!</v>
      </c>
      <c r="DL59" t="e">
        <f>IF(#REF!,"AAAAAFe55nM=",0)</f>
        <v>#REF!</v>
      </c>
      <c r="DM59" t="e">
        <f>IF(#REF!,"AAAAAFe55nQ=",0)</f>
        <v>#REF!</v>
      </c>
      <c r="DN59" t="e">
        <f>IF(#REF!,"AAAAAFe55nU=",0)</f>
        <v>#REF!</v>
      </c>
      <c r="DO59" t="e">
        <f>IF(#REF!,"AAAAAFe55nY=",0)</f>
        <v>#REF!</v>
      </c>
      <c r="DP59" t="e">
        <f>IF(#REF!,"AAAAAFe55nc=",0)</f>
        <v>#REF!</v>
      </c>
      <c r="DQ59" t="e">
        <f>IF(#REF!,"AAAAAFe55ng=",0)</f>
        <v>#REF!</v>
      </c>
      <c r="DR59" t="e">
        <f>IF(#REF!,"AAAAAFe55nk=",0)</f>
        <v>#REF!</v>
      </c>
      <c r="DS59" t="e">
        <f>IF(#REF!,"AAAAAFe55no=",0)</f>
        <v>#REF!</v>
      </c>
      <c r="DT59" t="e">
        <f>IF(#REF!,"AAAAAFe55ns=",0)</f>
        <v>#REF!</v>
      </c>
      <c r="DU59" t="e">
        <f>IF(#REF!,"AAAAAFe55nw=",0)</f>
        <v>#REF!</v>
      </c>
      <c r="DV59" t="e">
        <f>IF(#REF!,"AAAAAFe55n0=",0)</f>
        <v>#REF!</v>
      </c>
      <c r="DW59" t="e">
        <f>AND(#REF!,"AAAAAFe55n4=")</f>
        <v>#REF!</v>
      </c>
      <c r="DX59" t="e">
        <f>AND(#REF!,"AAAAAFe55n8=")</f>
        <v>#REF!</v>
      </c>
      <c r="DY59" t="e">
        <f>AND(#REF!,"AAAAAFe55oA=")</f>
        <v>#REF!</v>
      </c>
      <c r="DZ59" t="e">
        <f>AND(#REF!,"AAAAAFe55oE=")</f>
        <v>#REF!</v>
      </c>
      <c r="EA59" t="e">
        <f>AND(#REF!,"AAAAAFe55oI=")</f>
        <v>#REF!</v>
      </c>
      <c r="EB59" t="e">
        <f>AND(#REF!,"AAAAAFe55oM=")</f>
        <v>#REF!</v>
      </c>
      <c r="EC59" t="e">
        <f>AND(#REF!,"AAAAAFe55oQ=")</f>
        <v>#REF!</v>
      </c>
      <c r="ED59" t="e">
        <f>AND(#REF!,"AAAAAFe55oU=")</f>
        <v>#REF!</v>
      </c>
      <c r="EE59" t="e">
        <f>AND(#REF!,"AAAAAFe55oY=")</f>
        <v>#REF!</v>
      </c>
      <c r="EF59" t="e">
        <f>AND(#REF!,"AAAAAFe55oc=")</f>
        <v>#REF!</v>
      </c>
      <c r="EG59" t="e">
        <f>AND(#REF!,"AAAAAFe55og=")</f>
        <v>#REF!</v>
      </c>
      <c r="EH59" t="e">
        <f>IF(#REF!,"AAAAAFe55ok=",0)</f>
        <v>#REF!</v>
      </c>
      <c r="EI59" t="e">
        <f>AND(#REF!,"AAAAAFe55oo=")</f>
        <v>#REF!</v>
      </c>
      <c r="EJ59" t="e">
        <f>AND(#REF!,"AAAAAFe55os=")</f>
        <v>#REF!</v>
      </c>
      <c r="EK59" t="e">
        <f>AND(#REF!,"AAAAAFe55ow=")</f>
        <v>#REF!</v>
      </c>
      <c r="EL59" t="e">
        <f>AND(#REF!,"AAAAAFe55o0=")</f>
        <v>#REF!</v>
      </c>
      <c r="EM59" t="e">
        <f>AND(#REF!,"AAAAAFe55o4=")</f>
        <v>#REF!</v>
      </c>
      <c r="EN59" t="e">
        <f>AND(#REF!,"AAAAAFe55o8=")</f>
        <v>#REF!</v>
      </c>
      <c r="EO59" t="e">
        <f>AND(#REF!,"AAAAAFe55pA=")</f>
        <v>#REF!</v>
      </c>
      <c r="EP59" t="e">
        <f>AND(#REF!,"AAAAAFe55pE=")</f>
        <v>#REF!</v>
      </c>
      <c r="EQ59" t="e">
        <f>AND(#REF!,"AAAAAFe55pI=")</f>
        <v>#REF!</v>
      </c>
      <c r="ER59" t="e">
        <f>AND(#REF!,"AAAAAFe55pM=")</f>
        <v>#REF!</v>
      </c>
      <c r="ES59" t="e">
        <f>AND(#REF!,"AAAAAFe55pQ=")</f>
        <v>#REF!</v>
      </c>
      <c r="ET59" t="e">
        <f>IF(#REF!,"AAAAAFe55pU=",0)</f>
        <v>#REF!</v>
      </c>
      <c r="EU59" t="e">
        <f>AND(#REF!,"AAAAAFe55pY=")</f>
        <v>#REF!</v>
      </c>
      <c r="EV59" t="e">
        <f>AND(#REF!,"AAAAAFe55pc=")</f>
        <v>#REF!</v>
      </c>
      <c r="EW59" t="e">
        <f>AND(#REF!,"AAAAAFe55pg=")</f>
        <v>#REF!</v>
      </c>
      <c r="EX59" t="e">
        <f>AND(#REF!,"AAAAAFe55pk=")</f>
        <v>#REF!</v>
      </c>
      <c r="EY59" t="e">
        <f>AND(#REF!,"AAAAAFe55po=")</f>
        <v>#REF!</v>
      </c>
      <c r="EZ59" t="e">
        <f>AND(#REF!,"AAAAAFe55ps=")</f>
        <v>#REF!</v>
      </c>
      <c r="FA59" t="e">
        <f>AND(#REF!,"AAAAAFe55pw=")</f>
        <v>#REF!</v>
      </c>
      <c r="FB59" t="e">
        <f>AND(#REF!,"AAAAAFe55p0=")</f>
        <v>#REF!</v>
      </c>
      <c r="FC59" t="e">
        <f>AND(#REF!,"AAAAAFe55p4=")</f>
        <v>#REF!</v>
      </c>
      <c r="FD59" t="e">
        <f>AND(#REF!,"AAAAAFe55p8=")</f>
        <v>#REF!</v>
      </c>
      <c r="FE59" t="e">
        <f>AND(#REF!,"AAAAAFe55qA=")</f>
        <v>#REF!</v>
      </c>
      <c r="FF59" t="e">
        <f>IF(#REF!,"AAAAAFe55qE=",0)</f>
        <v>#REF!</v>
      </c>
      <c r="FG59" t="e">
        <f>AND(#REF!,"AAAAAFe55qI=")</f>
        <v>#REF!</v>
      </c>
      <c r="FH59" t="e">
        <f>AND(#REF!,"AAAAAFe55qM=")</f>
        <v>#REF!</v>
      </c>
      <c r="FI59" t="e">
        <f>AND(#REF!,"AAAAAFe55qQ=")</f>
        <v>#REF!</v>
      </c>
      <c r="FJ59" t="e">
        <f>AND(#REF!,"AAAAAFe55qU=")</f>
        <v>#REF!</v>
      </c>
      <c r="FK59" t="e">
        <f>AND(#REF!,"AAAAAFe55qY=")</f>
        <v>#REF!</v>
      </c>
      <c r="FL59" t="e">
        <f>AND(#REF!,"AAAAAFe55qc=")</f>
        <v>#REF!</v>
      </c>
      <c r="FM59" t="e">
        <f>AND(#REF!,"AAAAAFe55qg=")</f>
        <v>#REF!</v>
      </c>
      <c r="FN59" t="e">
        <f>AND(#REF!,"AAAAAFe55qk=")</f>
        <v>#REF!</v>
      </c>
      <c r="FO59" t="e">
        <f>AND(#REF!,"AAAAAFe55qo=")</f>
        <v>#REF!</v>
      </c>
      <c r="FP59" t="e">
        <f>AND(#REF!,"AAAAAFe55qs=")</f>
        <v>#REF!</v>
      </c>
      <c r="FQ59" t="e">
        <f>AND(#REF!,"AAAAAFe55qw=")</f>
        <v>#REF!</v>
      </c>
      <c r="FR59" t="e">
        <f>IF(#REF!,"AAAAAFe55q0=",0)</f>
        <v>#REF!</v>
      </c>
      <c r="FS59" t="e">
        <f>AND(#REF!,"AAAAAFe55q4=")</f>
        <v>#REF!</v>
      </c>
      <c r="FT59" t="e">
        <f>AND(#REF!,"AAAAAFe55q8=")</f>
        <v>#REF!</v>
      </c>
      <c r="FU59" t="e">
        <f>AND(#REF!,"AAAAAFe55rA=")</f>
        <v>#REF!</v>
      </c>
      <c r="FV59" t="e">
        <f>AND(#REF!,"AAAAAFe55rE=")</f>
        <v>#REF!</v>
      </c>
      <c r="FW59" t="e">
        <f>AND(#REF!,"AAAAAFe55rI=")</f>
        <v>#REF!</v>
      </c>
      <c r="FX59" t="e">
        <f>AND(#REF!,"AAAAAFe55rM=")</f>
        <v>#REF!</v>
      </c>
      <c r="FY59" t="e">
        <f>AND(#REF!,"AAAAAFe55rQ=")</f>
        <v>#REF!</v>
      </c>
      <c r="FZ59" t="e">
        <f>AND(#REF!,"AAAAAFe55rU=")</f>
        <v>#REF!</v>
      </c>
      <c r="GA59" t="e">
        <f>AND(#REF!,"AAAAAFe55rY=")</f>
        <v>#REF!</v>
      </c>
      <c r="GB59" t="e">
        <f>AND(#REF!,"AAAAAFe55rc=")</f>
        <v>#REF!</v>
      </c>
      <c r="GC59" t="e">
        <f>AND(#REF!,"AAAAAFe55rg=")</f>
        <v>#REF!</v>
      </c>
      <c r="GD59" t="e">
        <f>IF(#REF!,"AAAAAFe55rk=",0)</f>
        <v>#REF!</v>
      </c>
      <c r="GE59" t="e">
        <f>AND(#REF!,"AAAAAFe55ro=")</f>
        <v>#REF!</v>
      </c>
      <c r="GF59" t="e">
        <f>AND(#REF!,"AAAAAFe55rs=")</f>
        <v>#REF!</v>
      </c>
      <c r="GG59" t="e">
        <f>AND(#REF!,"AAAAAFe55rw=")</f>
        <v>#REF!</v>
      </c>
      <c r="GH59" t="e">
        <f>AND(#REF!,"AAAAAFe55r0=")</f>
        <v>#REF!</v>
      </c>
      <c r="GI59" t="e">
        <f>AND(#REF!,"AAAAAFe55r4=")</f>
        <v>#REF!</v>
      </c>
      <c r="GJ59" t="e">
        <f>AND(#REF!,"AAAAAFe55r8=")</f>
        <v>#REF!</v>
      </c>
      <c r="GK59" t="e">
        <f>AND(#REF!,"AAAAAFe55sA=")</f>
        <v>#REF!</v>
      </c>
      <c r="GL59" t="e">
        <f>AND(#REF!,"AAAAAFe55sE=")</f>
        <v>#REF!</v>
      </c>
      <c r="GM59" t="e">
        <f>AND(#REF!,"AAAAAFe55sI=")</f>
        <v>#REF!</v>
      </c>
      <c r="GN59" t="e">
        <f>AND(#REF!,"AAAAAFe55sM=")</f>
        <v>#REF!</v>
      </c>
      <c r="GO59" t="e">
        <f>AND(#REF!,"AAAAAFe55sQ=")</f>
        <v>#REF!</v>
      </c>
      <c r="GP59" t="e">
        <f>IF(#REF!,"AAAAAFe55sU=",0)</f>
        <v>#REF!</v>
      </c>
      <c r="GQ59" t="e">
        <f>AND(#REF!,"AAAAAFe55sY=")</f>
        <v>#REF!</v>
      </c>
      <c r="GR59" t="e">
        <f>AND(#REF!,"AAAAAFe55sc=")</f>
        <v>#REF!</v>
      </c>
      <c r="GS59" t="e">
        <f>AND(#REF!,"AAAAAFe55sg=")</f>
        <v>#REF!</v>
      </c>
      <c r="GT59" t="e">
        <f>AND(#REF!,"AAAAAFe55sk=")</f>
        <v>#REF!</v>
      </c>
      <c r="GU59" t="e">
        <f>AND(#REF!,"AAAAAFe55so=")</f>
        <v>#REF!</v>
      </c>
      <c r="GV59" t="e">
        <f>AND(#REF!,"AAAAAFe55ss=")</f>
        <v>#REF!</v>
      </c>
      <c r="GW59" t="e">
        <f>AND(#REF!,"AAAAAFe55sw=")</f>
        <v>#REF!</v>
      </c>
      <c r="GX59" t="e">
        <f>AND(#REF!,"AAAAAFe55s0=")</f>
        <v>#REF!</v>
      </c>
      <c r="GY59" t="e">
        <f>AND(#REF!,"AAAAAFe55s4=")</f>
        <v>#REF!</v>
      </c>
      <c r="GZ59" t="e">
        <f>AND(#REF!,"AAAAAFe55s8=")</f>
        <v>#REF!</v>
      </c>
      <c r="HA59" t="e">
        <f>AND(#REF!,"AAAAAFe55tA=")</f>
        <v>#REF!</v>
      </c>
      <c r="HB59" t="e">
        <f>IF(#REF!,"AAAAAFe55tE=",0)</f>
        <v>#REF!</v>
      </c>
      <c r="HC59" t="e">
        <f>AND(#REF!,"AAAAAFe55tI=")</f>
        <v>#REF!</v>
      </c>
      <c r="HD59" t="e">
        <f>AND(#REF!,"AAAAAFe55tM=")</f>
        <v>#REF!</v>
      </c>
      <c r="HE59" t="e">
        <f>AND(#REF!,"AAAAAFe55tQ=")</f>
        <v>#REF!</v>
      </c>
      <c r="HF59" t="e">
        <f>AND(#REF!,"AAAAAFe55tU=")</f>
        <v>#REF!</v>
      </c>
      <c r="HG59" t="e">
        <f>AND(#REF!,"AAAAAFe55tY=")</f>
        <v>#REF!</v>
      </c>
      <c r="HH59" t="e">
        <f>AND(#REF!,"AAAAAFe55tc=")</f>
        <v>#REF!</v>
      </c>
      <c r="HI59" t="e">
        <f>AND(#REF!,"AAAAAFe55tg=")</f>
        <v>#REF!</v>
      </c>
      <c r="HJ59" t="e">
        <f>AND(#REF!,"AAAAAFe55tk=")</f>
        <v>#REF!</v>
      </c>
      <c r="HK59" t="e">
        <f>AND(#REF!,"AAAAAFe55to=")</f>
        <v>#REF!</v>
      </c>
      <c r="HL59" t="e">
        <f>AND(#REF!,"AAAAAFe55ts=")</f>
        <v>#REF!</v>
      </c>
      <c r="HM59" t="e">
        <f>AND(#REF!,"AAAAAFe55tw=")</f>
        <v>#REF!</v>
      </c>
      <c r="HN59" t="e">
        <f>IF(#REF!,"AAAAAFe55t0=",0)</f>
        <v>#REF!</v>
      </c>
      <c r="HO59" t="e">
        <f>AND(#REF!,"AAAAAFe55t4=")</f>
        <v>#REF!</v>
      </c>
      <c r="HP59" t="e">
        <f>AND(#REF!,"AAAAAFe55t8=")</f>
        <v>#REF!</v>
      </c>
      <c r="HQ59" t="e">
        <f>AND(#REF!,"AAAAAFe55uA=")</f>
        <v>#REF!</v>
      </c>
      <c r="HR59" t="e">
        <f>AND(#REF!,"AAAAAFe55uE=")</f>
        <v>#REF!</v>
      </c>
      <c r="HS59" t="e">
        <f>AND(#REF!,"AAAAAFe55uI=")</f>
        <v>#REF!</v>
      </c>
      <c r="HT59" t="e">
        <f>AND(#REF!,"AAAAAFe55uM=")</f>
        <v>#REF!</v>
      </c>
      <c r="HU59" t="e">
        <f>AND(#REF!,"AAAAAFe55uQ=")</f>
        <v>#REF!</v>
      </c>
      <c r="HV59" t="e">
        <f>AND(#REF!,"AAAAAFe55uU=")</f>
        <v>#REF!</v>
      </c>
      <c r="HW59" t="e">
        <f>AND(#REF!,"AAAAAFe55uY=")</f>
        <v>#REF!</v>
      </c>
      <c r="HX59" t="e">
        <f>AND(#REF!,"AAAAAFe55uc=")</f>
        <v>#REF!</v>
      </c>
      <c r="HY59" t="e">
        <f>AND(#REF!,"AAAAAFe55ug=")</f>
        <v>#REF!</v>
      </c>
      <c r="HZ59" t="e">
        <f>IF(#REF!,"AAAAAFe55uk=",0)</f>
        <v>#REF!</v>
      </c>
      <c r="IA59" t="e">
        <f>AND(#REF!,"AAAAAFe55uo=")</f>
        <v>#REF!</v>
      </c>
      <c r="IB59" t="e">
        <f>AND(#REF!,"AAAAAFe55us=")</f>
        <v>#REF!</v>
      </c>
      <c r="IC59" t="e">
        <f>AND(#REF!,"AAAAAFe55uw=")</f>
        <v>#REF!</v>
      </c>
      <c r="ID59" t="e">
        <f>AND(#REF!,"AAAAAFe55u0=")</f>
        <v>#REF!</v>
      </c>
      <c r="IE59" t="e">
        <f>AND(#REF!,"AAAAAFe55u4=")</f>
        <v>#REF!</v>
      </c>
      <c r="IF59" t="e">
        <f>AND(#REF!,"AAAAAFe55u8=")</f>
        <v>#REF!</v>
      </c>
      <c r="IG59" t="e">
        <f>AND(#REF!,"AAAAAFe55vA=")</f>
        <v>#REF!</v>
      </c>
      <c r="IH59" t="e">
        <f>AND(#REF!,"AAAAAFe55vE=")</f>
        <v>#REF!</v>
      </c>
      <c r="II59" t="e">
        <f>AND(#REF!,"AAAAAFe55vI=")</f>
        <v>#REF!</v>
      </c>
      <c r="IJ59" t="e">
        <f>AND(#REF!,"AAAAAFe55vM=")</f>
        <v>#REF!</v>
      </c>
      <c r="IK59" t="e">
        <f>AND(#REF!,"AAAAAFe55vQ=")</f>
        <v>#REF!</v>
      </c>
      <c r="IL59" t="e">
        <f>IF(#REF!,"AAAAAFe55vU=",0)</f>
        <v>#REF!</v>
      </c>
      <c r="IM59" t="e">
        <f>AND(#REF!,"AAAAAFe55vY=")</f>
        <v>#REF!</v>
      </c>
      <c r="IN59" t="e">
        <f>AND(#REF!,"AAAAAFe55vc=")</f>
        <v>#REF!</v>
      </c>
      <c r="IO59" t="e">
        <f>AND(#REF!,"AAAAAFe55vg=")</f>
        <v>#REF!</v>
      </c>
      <c r="IP59" t="e">
        <f>AND(#REF!,"AAAAAFe55vk=")</f>
        <v>#REF!</v>
      </c>
      <c r="IQ59" t="e">
        <f>AND(#REF!,"AAAAAFe55vo=")</f>
        <v>#REF!</v>
      </c>
      <c r="IR59" t="e">
        <f>AND(#REF!,"AAAAAFe55vs=")</f>
        <v>#REF!</v>
      </c>
      <c r="IS59" t="e">
        <f>AND(#REF!,"AAAAAFe55vw=")</f>
        <v>#REF!</v>
      </c>
      <c r="IT59" t="e">
        <f>AND(#REF!,"AAAAAFe55v0=")</f>
        <v>#REF!</v>
      </c>
      <c r="IU59" t="e">
        <f>AND(#REF!,"AAAAAFe55v4=")</f>
        <v>#REF!</v>
      </c>
      <c r="IV59" t="e">
        <f>AND(#REF!,"AAAAAFe55v8=")</f>
        <v>#REF!</v>
      </c>
    </row>
    <row r="60" spans="1:256" x14ac:dyDescent="0.2">
      <c r="A60" t="e">
        <f>AND(#REF!,"AAAAAFx49wA=")</f>
        <v>#REF!</v>
      </c>
      <c r="B60" t="e">
        <f>IF(#REF!,"AAAAAFx49wE=",0)</f>
        <v>#REF!</v>
      </c>
      <c r="C60" t="e">
        <f>AND(#REF!,"AAAAAFx49wI=")</f>
        <v>#REF!</v>
      </c>
      <c r="D60" t="e">
        <f>AND(#REF!,"AAAAAFx49wM=")</f>
        <v>#REF!</v>
      </c>
      <c r="E60" t="e">
        <f>AND(#REF!,"AAAAAFx49wQ=")</f>
        <v>#REF!</v>
      </c>
      <c r="F60" t="e">
        <f>AND(#REF!,"AAAAAFx49wU=")</f>
        <v>#REF!</v>
      </c>
      <c r="G60" t="e">
        <f>AND(#REF!,"AAAAAFx49wY=")</f>
        <v>#REF!</v>
      </c>
      <c r="H60" t="e">
        <f>AND(#REF!,"AAAAAFx49wc=")</f>
        <v>#REF!</v>
      </c>
      <c r="I60" t="e">
        <f>AND(#REF!,"AAAAAFx49wg=")</f>
        <v>#REF!</v>
      </c>
      <c r="J60" t="e">
        <f>AND(#REF!,"AAAAAFx49wk=")</f>
        <v>#REF!</v>
      </c>
      <c r="K60" t="e">
        <f>AND(#REF!,"AAAAAFx49wo=")</f>
        <v>#REF!</v>
      </c>
      <c r="L60" t="e">
        <f>AND(#REF!,"AAAAAFx49ws=")</f>
        <v>#REF!</v>
      </c>
      <c r="M60" t="e">
        <f>AND(#REF!,"AAAAAFx49ww=")</f>
        <v>#REF!</v>
      </c>
      <c r="N60" t="e">
        <f>IF(#REF!,"AAAAAFx49w0=",0)</f>
        <v>#REF!</v>
      </c>
      <c r="O60" t="e">
        <f>AND(#REF!,"AAAAAFx49w4=")</f>
        <v>#REF!</v>
      </c>
      <c r="P60" t="e">
        <f>AND(#REF!,"AAAAAFx49w8=")</f>
        <v>#REF!</v>
      </c>
      <c r="Q60" t="e">
        <f>AND(#REF!,"AAAAAFx49xA=")</f>
        <v>#REF!</v>
      </c>
      <c r="R60" t="e">
        <f>AND(#REF!,"AAAAAFx49xE=")</f>
        <v>#REF!</v>
      </c>
      <c r="S60" t="e">
        <f>AND(#REF!,"AAAAAFx49xI=")</f>
        <v>#REF!</v>
      </c>
      <c r="T60" t="e">
        <f>AND(#REF!,"AAAAAFx49xM=")</f>
        <v>#REF!</v>
      </c>
      <c r="U60" t="e">
        <f>AND(#REF!,"AAAAAFx49xQ=")</f>
        <v>#REF!</v>
      </c>
      <c r="V60" t="e">
        <f>AND(#REF!,"AAAAAFx49xU=")</f>
        <v>#REF!</v>
      </c>
      <c r="W60" t="e">
        <f>AND(#REF!,"AAAAAFx49xY=")</f>
        <v>#REF!</v>
      </c>
      <c r="X60" t="e">
        <f>AND(#REF!,"AAAAAFx49xc=")</f>
        <v>#REF!</v>
      </c>
      <c r="Y60" t="e">
        <f>AND(#REF!,"AAAAAFx49xg=")</f>
        <v>#REF!</v>
      </c>
      <c r="Z60" t="e">
        <f>IF(#REF!,"AAAAAFx49xk=",0)</f>
        <v>#REF!</v>
      </c>
      <c r="AA60" t="e">
        <f>AND(#REF!,"AAAAAFx49xo=")</f>
        <v>#REF!</v>
      </c>
      <c r="AB60" t="e">
        <f>AND(#REF!,"AAAAAFx49xs=")</f>
        <v>#REF!</v>
      </c>
      <c r="AC60" t="e">
        <f>AND(#REF!,"AAAAAFx49xw=")</f>
        <v>#REF!</v>
      </c>
      <c r="AD60" t="e">
        <f>AND(#REF!,"AAAAAFx49x0=")</f>
        <v>#REF!</v>
      </c>
      <c r="AE60" t="e">
        <f>AND(#REF!,"AAAAAFx49x4=")</f>
        <v>#REF!</v>
      </c>
      <c r="AF60" t="e">
        <f>AND(#REF!,"AAAAAFx49x8=")</f>
        <v>#REF!</v>
      </c>
      <c r="AG60" t="e">
        <f>AND(#REF!,"AAAAAFx49yA=")</f>
        <v>#REF!</v>
      </c>
      <c r="AH60" t="e">
        <f>AND(#REF!,"AAAAAFx49yE=")</f>
        <v>#REF!</v>
      </c>
      <c r="AI60" t="e">
        <f>AND(#REF!,"AAAAAFx49yI=")</f>
        <v>#REF!</v>
      </c>
      <c r="AJ60" t="e">
        <f>AND(#REF!,"AAAAAFx49yM=")</f>
        <v>#REF!</v>
      </c>
      <c r="AK60" t="e">
        <f>AND(#REF!,"AAAAAFx49yQ=")</f>
        <v>#REF!</v>
      </c>
      <c r="AL60" t="e">
        <f>IF(#REF!,"AAAAAFx49yU=",0)</f>
        <v>#REF!</v>
      </c>
      <c r="AM60" t="e">
        <f>AND(#REF!,"AAAAAFx49yY=")</f>
        <v>#REF!</v>
      </c>
      <c r="AN60" t="e">
        <f>AND(#REF!,"AAAAAFx49yc=")</f>
        <v>#REF!</v>
      </c>
      <c r="AO60" t="e">
        <f>AND(#REF!,"AAAAAFx49yg=")</f>
        <v>#REF!</v>
      </c>
      <c r="AP60" t="e">
        <f>AND(#REF!,"AAAAAFx49yk=")</f>
        <v>#REF!</v>
      </c>
      <c r="AQ60" t="e">
        <f>AND(#REF!,"AAAAAFx49yo=")</f>
        <v>#REF!</v>
      </c>
      <c r="AR60" t="e">
        <f>AND(#REF!,"AAAAAFx49ys=")</f>
        <v>#REF!</v>
      </c>
      <c r="AS60" t="e">
        <f>AND(#REF!,"AAAAAFx49yw=")</f>
        <v>#REF!</v>
      </c>
      <c r="AT60" t="e">
        <f>AND(#REF!,"AAAAAFx49y0=")</f>
        <v>#REF!</v>
      </c>
      <c r="AU60" t="e">
        <f>AND(#REF!,"AAAAAFx49y4=")</f>
        <v>#REF!</v>
      </c>
      <c r="AV60" t="e">
        <f>AND(#REF!,"AAAAAFx49y8=")</f>
        <v>#REF!</v>
      </c>
      <c r="AW60" t="e">
        <f>AND(#REF!,"AAAAAFx49zA=")</f>
        <v>#REF!</v>
      </c>
      <c r="AX60" t="e">
        <f>IF(#REF!,"AAAAAFx49zE=",0)</f>
        <v>#REF!</v>
      </c>
      <c r="AY60" t="e">
        <f>AND(#REF!,"AAAAAFx49zI=")</f>
        <v>#REF!</v>
      </c>
      <c r="AZ60" t="e">
        <f>AND(#REF!,"AAAAAFx49zM=")</f>
        <v>#REF!</v>
      </c>
      <c r="BA60" t="e">
        <f>AND(#REF!,"AAAAAFx49zQ=")</f>
        <v>#REF!</v>
      </c>
      <c r="BB60" t="e">
        <f>AND(#REF!,"AAAAAFx49zU=")</f>
        <v>#REF!</v>
      </c>
      <c r="BC60" t="e">
        <f>AND(#REF!,"AAAAAFx49zY=")</f>
        <v>#REF!</v>
      </c>
      <c r="BD60" t="e">
        <f>AND(#REF!,"AAAAAFx49zc=")</f>
        <v>#REF!</v>
      </c>
      <c r="BE60" t="e">
        <f>AND(#REF!,"AAAAAFx49zg=")</f>
        <v>#REF!</v>
      </c>
      <c r="BF60" t="e">
        <f>AND(#REF!,"AAAAAFx49zk=")</f>
        <v>#REF!</v>
      </c>
      <c r="BG60" t="e">
        <f>AND(#REF!,"AAAAAFx49zo=")</f>
        <v>#REF!</v>
      </c>
      <c r="BH60" t="e">
        <f>AND(#REF!,"AAAAAFx49zs=")</f>
        <v>#REF!</v>
      </c>
      <c r="BI60" t="e">
        <f>AND(#REF!,"AAAAAFx49zw=")</f>
        <v>#REF!</v>
      </c>
      <c r="BJ60" t="e">
        <f>IF(#REF!,"AAAAAFx49z0=",0)</f>
        <v>#REF!</v>
      </c>
      <c r="BK60" t="e">
        <f>AND(#REF!,"AAAAAFx49z4=")</f>
        <v>#REF!</v>
      </c>
      <c r="BL60" t="e">
        <f>AND(#REF!,"AAAAAFx49z8=")</f>
        <v>#REF!</v>
      </c>
      <c r="BM60" t="e">
        <f>AND(#REF!,"AAAAAFx490A=")</f>
        <v>#REF!</v>
      </c>
      <c r="BN60" t="e">
        <f>AND(#REF!,"AAAAAFx490E=")</f>
        <v>#REF!</v>
      </c>
      <c r="BO60" t="e">
        <f>AND(#REF!,"AAAAAFx490I=")</f>
        <v>#REF!</v>
      </c>
      <c r="BP60" t="e">
        <f>AND(#REF!,"AAAAAFx490M=")</f>
        <v>#REF!</v>
      </c>
      <c r="BQ60" t="e">
        <f>AND(#REF!,"AAAAAFx490Q=")</f>
        <v>#REF!</v>
      </c>
      <c r="BR60" t="e">
        <f>AND(#REF!,"AAAAAFx490U=")</f>
        <v>#REF!</v>
      </c>
      <c r="BS60" t="e">
        <f>AND(#REF!,"AAAAAFx490Y=")</f>
        <v>#REF!</v>
      </c>
      <c r="BT60" t="e">
        <f>AND(#REF!,"AAAAAFx490c=")</f>
        <v>#REF!</v>
      </c>
      <c r="BU60" t="e">
        <f>AND(#REF!,"AAAAAFx490g=")</f>
        <v>#REF!</v>
      </c>
      <c r="BV60" t="e">
        <f>IF(#REF!,"AAAAAFx490k=",0)</f>
        <v>#REF!</v>
      </c>
      <c r="BW60" t="e">
        <f>AND(#REF!,"AAAAAFx490o=")</f>
        <v>#REF!</v>
      </c>
      <c r="BX60" t="e">
        <f>AND(#REF!,"AAAAAFx490s=")</f>
        <v>#REF!</v>
      </c>
      <c r="BY60" t="e">
        <f>AND(#REF!,"AAAAAFx490w=")</f>
        <v>#REF!</v>
      </c>
      <c r="BZ60" t="e">
        <f>AND(#REF!,"AAAAAFx4900=")</f>
        <v>#REF!</v>
      </c>
      <c r="CA60" t="e">
        <f>AND(#REF!,"AAAAAFx4904=")</f>
        <v>#REF!</v>
      </c>
      <c r="CB60" t="e">
        <f>AND(#REF!,"AAAAAFx4908=")</f>
        <v>#REF!</v>
      </c>
      <c r="CC60" t="e">
        <f>AND(#REF!,"AAAAAFx491A=")</f>
        <v>#REF!</v>
      </c>
      <c r="CD60" t="e">
        <f>AND(#REF!,"AAAAAFx491E=")</f>
        <v>#REF!</v>
      </c>
      <c r="CE60" t="e">
        <f>AND(#REF!,"AAAAAFx491I=")</f>
        <v>#REF!</v>
      </c>
      <c r="CF60" t="e">
        <f>AND(#REF!,"AAAAAFx491M=")</f>
        <v>#REF!</v>
      </c>
      <c r="CG60" t="e">
        <f>AND(#REF!,"AAAAAFx491Q=")</f>
        <v>#REF!</v>
      </c>
      <c r="CH60" t="e">
        <f>IF(#REF!,"AAAAAFx491U=",0)</f>
        <v>#REF!</v>
      </c>
      <c r="CI60" t="e">
        <f>AND(#REF!,"AAAAAFx491Y=")</f>
        <v>#REF!</v>
      </c>
      <c r="CJ60" t="e">
        <f>AND(#REF!,"AAAAAFx491c=")</f>
        <v>#REF!</v>
      </c>
      <c r="CK60" t="e">
        <f>AND(#REF!,"AAAAAFx491g=")</f>
        <v>#REF!</v>
      </c>
      <c r="CL60" t="e">
        <f>AND(#REF!,"AAAAAFx491k=")</f>
        <v>#REF!</v>
      </c>
      <c r="CM60" t="e">
        <f>AND(#REF!,"AAAAAFx491o=")</f>
        <v>#REF!</v>
      </c>
      <c r="CN60" t="e">
        <f>AND(#REF!,"AAAAAFx491s=")</f>
        <v>#REF!</v>
      </c>
      <c r="CO60" t="e">
        <f>AND(#REF!,"AAAAAFx491w=")</f>
        <v>#REF!</v>
      </c>
      <c r="CP60" t="e">
        <f>AND(#REF!,"AAAAAFx4910=")</f>
        <v>#REF!</v>
      </c>
      <c r="CQ60" t="e">
        <f>AND(#REF!,"AAAAAFx4914=")</f>
        <v>#REF!</v>
      </c>
      <c r="CR60" t="e">
        <f>AND(#REF!,"AAAAAFx4918=")</f>
        <v>#REF!</v>
      </c>
      <c r="CS60" t="e">
        <f>AND(#REF!,"AAAAAFx492A=")</f>
        <v>#REF!</v>
      </c>
      <c r="CT60" t="e">
        <f>IF(#REF!,"AAAAAFx492E=",0)</f>
        <v>#REF!</v>
      </c>
      <c r="CU60" t="e">
        <f>AND(#REF!,"AAAAAFx492I=")</f>
        <v>#REF!</v>
      </c>
      <c r="CV60" t="e">
        <f>AND(#REF!,"AAAAAFx492M=")</f>
        <v>#REF!</v>
      </c>
      <c r="CW60" t="e">
        <f>AND(#REF!,"AAAAAFx492Q=")</f>
        <v>#REF!</v>
      </c>
      <c r="CX60" t="e">
        <f>AND(#REF!,"AAAAAFx492U=")</f>
        <v>#REF!</v>
      </c>
      <c r="CY60" t="e">
        <f>AND(#REF!,"AAAAAFx492Y=")</f>
        <v>#REF!</v>
      </c>
      <c r="CZ60" t="e">
        <f>AND(#REF!,"AAAAAFx492c=")</f>
        <v>#REF!</v>
      </c>
      <c r="DA60" t="e">
        <f>AND(#REF!,"AAAAAFx492g=")</f>
        <v>#REF!</v>
      </c>
      <c r="DB60" t="e">
        <f>AND(#REF!,"AAAAAFx492k=")</f>
        <v>#REF!</v>
      </c>
      <c r="DC60" t="e">
        <f>AND(#REF!,"AAAAAFx492o=")</f>
        <v>#REF!</v>
      </c>
      <c r="DD60" t="e">
        <f>AND(#REF!,"AAAAAFx492s=")</f>
        <v>#REF!</v>
      </c>
      <c r="DE60" t="e">
        <f>AND(#REF!,"AAAAAFx492w=")</f>
        <v>#REF!</v>
      </c>
      <c r="DF60" t="e">
        <f>IF(#REF!,"AAAAAFx4920=",0)</f>
        <v>#REF!</v>
      </c>
      <c r="DG60" t="e">
        <f>IF(#REF!,"AAAAAFx4924=",0)</f>
        <v>#REF!</v>
      </c>
      <c r="DH60" t="e">
        <f>IF(#REF!,"AAAAAFx4928=",0)</f>
        <v>#REF!</v>
      </c>
      <c r="DI60" t="e">
        <f>IF(#REF!,"AAAAAFx493A=",0)</f>
        <v>#REF!</v>
      </c>
      <c r="DJ60" t="e">
        <f>IF(#REF!,"AAAAAFx493E=",0)</f>
        <v>#REF!</v>
      </c>
      <c r="DK60" t="e">
        <f>IF(#REF!,"AAAAAFx493I=",0)</f>
        <v>#REF!</v>
      </c>
      <c r="DL60" t="e">
        <f>IF(#REF!,"AAAAAFx493M=",0)</f>
        <v>#REF!</v>
      </c>
      <c r="DM60" t="e">
        <f>IF(#REF!,"AAAAAFx493Q=",0)</f>
        <v>#REF!</v>
      </c>
      <c r="DN60" t="e">
        <f>IF(#REF!,"AAAAAFx493U=",0)</f>
        <v>#REF!</v>
      </c>
      <c r="DO60" t="e">
        <f>IF(#REF!,"AAAAAFx493Y=",0)</f>
        <v>#REF!</v>
      </c>
      <c r="DP60" t="e">
        <f>IF(#REF!,"AAAAAFx493c=",0)</f>
        <v>#REF!</v>
      </c>
      <c r="DQ60" t="e">
        <f>IF(#REF!,"AAAAAFx493g=",0)</f>
        <v>#REF!</v>
      </c>
      <c r="DR60" t="e">
        <f>IF(#REF!,"AAAAAFx493k=",0)</f>
        <v>#REF!</v>
      </c>
      <c r="DS60" t="e">
        <f>AND(#REF!,"AAAAAFx493o=")</f>
        <v>#REF!</v>
      </c>
      <c r="DT60" t="e">
        <f>AND(#REF!,"AAAAAFx493s=")</f>
        <v>#REF!</v>
      </c>
      <c r="DU60" t="e">
        <f>AND(#REF!,"AAAAAFx493w=")</f>
        <v>#REF!</v>
      </c>
      <c r="DV60" t="e">
        <f>AND(#REF!,"AAAAAFx4930=")</f>
        <v>#REF!</v>
      </c>
      <c r="DW60" t="e">
        <f>AND(#REF!,"AAAAAFx4934=")</f>
        <v>#REF!</v>
      </c>
      <c r="DX60" t="e">
        <f>AND(#REF!,"AAAAAFx4938=")</f>
        <v>#REF!</v>
      </c>
      <c r="DY60" t="e">
        <f>AND(#REF!,"AAAAAFx494A=")</f>
        <v>#REF!</v>
      </c>
      <c r="DZ60" t="e">
        <f>AND(#REF!,"AAAAAFx494E=")</f>
        <v>#REF!</v>
      </c>
      <c r="EA60" t="e">
        <f>AND(#REF!,"AAAAAFx494I=")</f>
        <v>#REF!</v>
      </c>
      <c r="EB60" t="e">
        <f>AND(#REF!,"AAAAAFx494M=")</f>
        <v>#REF!</v>
      </c>
      <c r="EC60" t="e">
        <f>AND(#REF!,"AAAAAFx494Q=")</f>
        <v>#REF!</v>
      </c>
      <c r="ED60" t="e">
        <f>AND(#REF!,"AAAAAFx494U=")</f>
        <v>#REF!</v>
      </c>
      <c r="EE60" t="e">
        <f>AND(#REF!,"AAAAAFx494Y=")</f>
        <v>#REF!</v>
      </c>
      <c r="EF60" t="e">
        <f>AND(#REF!,"AAAAAFx494c=")</f>
        <v>#REF!</v>
      </c>
      <c r="EG60" t="e">
        <f>AND(#REF!,"AAAAAFx494g=")</f>
        <v>#REF!</v>
      </c>
      <c r="EH60" t="e">
        <f>AND(#REF!,"AAAAAFx494k=")</f>
        <v>#REF!</v>
      </c>
      <c r="EI60" t="e">
        <f>AND(#REF!,"AAAAAFx494o=")</f>
        <v>#REF!</v>
      </c>
      <c r="EJ60" t="e">
        <f>AND(#REF!,"AAAAAFx494s=")</f>
        <v>#REF!</v>
      </c>
      <c r="EK60" t="e">
        <f>AND(#REF!,"AAAAAFx494w=")</f>
        <v>#REF!</v>
      </c>
      <c r="EL60" t="e">
        <f>AND(#REF!,"AAAAAFx4940=")</f>
        <v>#REF!</v>
      </c>
      <c r="EM60" t="e">
        <f>AND(#REF!,"AAAAAFx4944=")</f>
        <v>#REF!</v>
      </c>
      <c r="EN60" t="e">
        <f>AND(#REF!,"AAAAAFx4948=")</f>
        <v>#REF!</v>
      </c>
      <c r="EO60" t="e">
        <f>AND(#REF!,"AAAAAFx495A=")</f>
        <v>#REF!</v>
      </c>
      <c r="EP60" t="e">
        <f>AND(#REF!,"AAAAAFx495E=")</f>
        <v>#REF!</v>
      </c>
      <c r="EQ60" t="e">
        <f>AND(#REF!,"AAAAAFx495I=")</f>
        <v>#REF!</v>
      </c>
      <c r="ER60" t="e">
        <f>AND(#REF!,"AAAAAFx495M=")</f>
        <v>#REF!</v>
      </c>
      <c r="ES60" t="e">
        <f>AND(#REF!,"AAAAAFx495Q=")</f>
        <v>#REF!</v>
      </c>
      <c r="ET60" t="e">
        <f>AND(#REF!,"AAAAAFx495U=")</f>
        <v>#REF!</v>
      </c>
      <c r="EU60" t="e">
        <f>AND(#REF!,"AAAAAFx495Y=")</f>
        <v>#REF!</v>
      </c>
      <c r="EV60" t="e">
        <f>AND(#REF!,"AAAAAFx495c=")</f>
        <v>#REF!</v>
      </c>
      <c r="EW60" t="e">
        <f>AND(#REF!,"AAAAAFx495g=")</f>
        <v>#REF!</v>
      </c>
      <c r="EX60" t="e">
        <f>AND(#REF!,"AAAAAFx495k=")</f>
        <v>#REF!</v>
      </c>
      <c r="EY60" t="e">
        <f>AND(#REF!,"AAAAAFx495o=")</f>
        <v>#REF!</v>
      </c>
      <c r="EZ60" t="e">
        <f>AND(#REF!,"AAAAAFx495s=")</f>
        <v>#REF!</v>
      </c>
      <c r="FA60" t="e">
        <f>AND(#REF!,"AAAAAFx495w=")</f>
        <v>#REF!</v>
      </c>
      <c r="FB60" t="e">
        <f>AND(#REF!,"AAAAAFx4950=")</f>
        <v>#REF!</v>
      </c>
      <c r="FC60" t="e">
        <f>AND(#REF!,"AAAAAFx4954=")</f>
        <v>#REF!</v>
      </c>
      <c r="FD60" t="e">
        <f>AND(#REF!,"AAAAAFx4958=")</f>
        <v>#REF!</v>
      </c>
      <c r="FE60" t="e">
        <f>AND(#REF!,"AAAAAFx496A=")</f>
        <v>#REF!</v>
      </c>
      <c r="FF60" t="e">
        <f>AND(#REF!,"AAAAAFx496E=")</f>
        <v>#REF!</v>
      </c>
      <c r="FG60" t="e">
        <f>AND(#REF!,"AAAAAFx496I=")</f>
        <v>#REF!</v>
      </c>
      <c r="FH60" t="e">
        <f>AND(#REF!,"AAAAAFx496M=")</f>
        <v>#REF!</v>
      </c>
      <c r="FI60" t="e">
        <f>AND(#REF!,"AAAAAFx496Q=")</f>
        <v>#REF!</v>
      </c>
      <c r="FJ60" t="e">
        <f>AND(#REF!,"AAAAAFx496U=")</f>
        <v>#REF!</v>
      </c>
      <c r="FK60" t="e">
        <f>AND(#REF!,"AAAAAFx496Y=")</f>
        <v>#REF!</v>
      </c>
      <c r="FL60" t="e">
        <f>AND(#REF!,"AAAAAFx496c=")</f>
        <v>#REF!</v>
      </c>
      <c r="FM60" t="e">
        <f>AND(#REF!,"AAAAAFx496g=")</f>
        <v>#REF!</v>
      </c>
      <c r="FN60" t="e">
        <f>AND(#REF!,"AAAAAFx496k=")</f>
        <v>#REF!</v>
      </c>
      <c r="FO60" t="e">
        <f>AND(#REF!,"AAAAAFx496o=")</f>
        <v>#REF!</v>
      </c>
      <c r="FP60" t="e">
        <f>AND(#REF!,"AAAAAFx496s=")</f>
        <v>#REF!</v>
      </c>
      <c r="FQ60" t="e">
        <f>AND(#REF!,"AAAAAFx496w=")</f>
        <v>#REF!</v>
      </c>
      <c r="FR60" t="e">
        <f>AND(#REF!,"AAAAAFx4960=")</f>
        <v>#REF!</v>
      </c>
      <c r="FS60" t="e">
        <f>AND(#REF!,"AAAAAFx4964=")</f>
        <v>#REF!</v>
      </c>
      <c r="FT60" t="e">
        <f>AND(#REF!,"AAAAAFx4968=")</f>
        <v>#REF!</v>
      </c>
      <c r="FU60" t="e">
        <f>AND(#REF!,"AAAAAFx497A=")</f>
        <v>#REF!</v>
      </c>
      <c r="FV60" t="e">
        <f>AND(#REF!,"AAAAAFx497E=")</f>
        <v>#REF!</v>
      </c>
      <c r="FW60" t="e">
        <f>AND(#REF!,"AAAAAFx497I=")</f>
        <v>#REF!</v>
      </c>
      <c r="FX60" t="e">
        <f>AND(#REF!,"AAAAAFx497M=")</f>
        <v>#REF!</v>
      </c>
      <c r="FY60" t="e">
        <f>AND(#REF!,"AAAAAFx497Q=")</f>
        <v>#REF!</v>
      </c>
      <c r="FZ60" t="e">
        <f>AND(#REF!,"AAAAAFx497U=")</f>
        <v>#REF!</v>
      </c>
      <c r="GA60" t="e">
        <f>AND(#REF!,"AAAAAFx497Y=")</f>
        <v>#REF!</v>
      </c>
      <c r="GB60" t="e">
        <f>AND(#REF!,"AAAAAFx497c=")</f>
        <v>#REF!</v>
      </c>
      <c r="GC60" t="e">
        <f>AND(#REF!,"AAAAAFx497g=")</f>
        <v>#REF!</v>
      </c>
      <c r="GD60" t="e">
        <f>AND(#REF!,"AAAAAFx497k=")</f>
        <v>#REF!</v>
      </c>
      <c r="GE60" t="e">
        <f>AND(#REF!,"AAAAAFx497o=")</f>
        <v>#REF!</v>
      </c>
      <c r="GF60" t="e">
        <f>AND(#REF!,"AAAAAFx497s=")</f>
        <v>#REF!</v>
      </c>
      <c r="GG60" t="e">
        <f>AND(#REF!,"AAAAAFx497w=")</f>
        <v>#REF!</v>
      </c>
      <c r="GH60" t="e">
        <f>AND(#REF!,"AAAAAFx4970=")</f>
        <v>#REF!</v>
      </c>
      <c r="GI60" t="e">
        <f>AND(#REF!,"AAAAAFx4974=")</f>
        <v>#REF!</v>
      </c>
      <c r="GJ60" t="e">
        <f>AND(#REF!,"AAAAAFx4978=")</f>
        <v>#REF!</v>
      </c>
      <c r="GK60" t="e">
        <f>AND(#REF!,"AAAAAFx498A=")</f>
        <v>#REF!</v>
      </c>
      <c r="GL60" t="e">
        <f>AND(#REF!,"AAAAAFx498E=")</f>
        <v>#REF!</v>
      </c>
      <c r="GM60" t="e">
        <f>AND(#REF!,"AAAAAFx498I=")</f>
        <v>#REF!</v>
      </c>
      <c r="GN60" t="e">
        <f>AND(#REF!,"AAAAAFx498M=")</f>
        <v>#REF!</v>
      </c>
      <c r="GO60" t="e">
        <f>IF(#REF!,"AAAAAFx498Q=",0)</f>
        <v>#REF!</v>
      </c>
      <c r="GP60" t="e">
        <f>AND(#REF!,"AAAAAFx498U=")</f>
        <v>#REF!</v>
      </c>
      <c r="GQ60" t="e">
        <f>AND(#REF!,"AAAAAFx498Y=")</f>
        <v>#REF!</v>
      </c>
      <c r="GR60" t="e">
        <f>AND(#REF!,"AAAAAFx498c=")</f>
        <v>#REF!</v>
      </c>
      <c r="GS60" t="e">
        <f>AND(#REF!,"AAAAAFx498g=")</f>
        <v>#REF!</v>
      </c>
      <c r="GT60" t="e">
        <f>AND(#REF!,"AAAAAFx498k=")</f>
        <v>#REF!</v>
      </c>
      <c r="GU60" t="e">
        <f>AND(#REF!,"AAAAAFx498o=")</f>
        <v>#REF!</v>
      </c>
      <c r="GV60" t="e">
        <f>AND(#REF!,"AAAAAFx498s=")</f>
        <v>#REF!</v>
      </c>
      <c r="GW60" t="e">
        <f>AND(#REF!,"AAAAAFx498w=")</f>
        <v>#REF!</v>
      </c>
      <c r="GX60" t="e">
        <f>AND(#REF!,"AAAAAFx4980=")</f>
        <v>#REF!</v>
      </c>
      <c r="GY60" t="e">
        <f>AND(#REF!,"AAAAAFx4984=")</f>
        <v>#REF!</v>
      </c>
      <c r="GZ60" t="e">
        <f>AND(#REF!,"AAAAAFx4988=")</f>
        <v>#REF!</v>
      </c>
      <c r="HA60" t="e">
        <f>AND(#REF!,"AAAAAFx499A=")</f>
        <v>#REF!</v>
      </c>
      <c r="HB60" t="e">
        <f>AND(#REF!,"AAAAAFx499E=")</f>
        <v>#REF!</v>
      </c>
      <c r="HC60" t="e">
        <f>AND(#REF!,"AAAAAFx499I=")</f>
        <v>#REF!</v>
      </c>
      <c r="HD60" t="e">
        <f>AND(#REF!,"AAAAAFx499M=")</f>
        <v>#REF!</v>
      </c>
      <c r="HE60" t="e">
        <f>AND(#REF!,"AAAAAFx499Q=")</f>
        <v>#REF!</v>
      </c>
      <c r="HF60" t="e">
        <f>AND(#REF!,"AAAAAFx499U=")</f>
        <v>#REF!</v>
      </c>
      <c r="HG60" t="e">
        <f>AND(#REF!,"AAAAAFx499Y=")</f>
        <v>#REF!</v>
      </c>
      <c r="HH60" t="e">
        <f>AND(#REF!,"AAAAAFx499c=")</f>
        <v>#REF!</v>
      </c>
      <c r="HI60" t="e">
        <f>AND(#REF!,"AAAAAFx499g=")</f>
        <v>#REF!</v>
      </c>
      <c r="HJ60" t="e">
        <f>AND(#REF!,"AAAAAFx499k=")</f>
        <v>#REF!</v>
      </c>
      <c r="HK60" t="e">
        <f>AND(#REF!,"AAAAAFx499o=")</f>
        <v>#REF!</v>
      </c>
      <c r="HL60" t="e">
        <f>AND(#REF!,"AAAAAFx499s=")</f>
        <v>#REF!</v>
      </c>
      <c r="HM60" t="e">
        <f>AND(#REF!,"AAAAAFx499w=")</f>
        <v>#REF!</v>
      </c>
      <c r="HN60" t="e">
        <f>AND(#REF!,"AAAAAFx4990=")</f>
        <v>#REF!</v>
      </c>
      <c r="HO60" t="e">
        <f>AND(#REF!,"AAAAAFx4994=")</f>
        <v>#REF!</v>
      </c>
      <c r="HP60" t="e">
        <f>AND(#REF!,"AAAAAFx4998=")</f>
        <v>#REF!</v>
      </c>
      <c r="HQ60" t="e">
        <f>AND(#REF!,"AAAAAFx49+A=")</f>
        <v>#REF!</v>
      </c>
      <c r="HR60" t="e">
        <f>AND(#REF!,"AAAAAFx49+E=")</f>
        <v>#REF!</v>
      </c>
      <c r="HS60" t="e">
        <f>AND(#REF!,"AAAAAFx49+I=")</f>
        <v>#REF!</v>
      </c>
      <c r="HT60" t="e">
        <f>AND(#REF!,"AAAAAFx49+M=")</f>
        <v>#REF!</v>
      </c>
      <c r="HU60" t="e">
        <f>AND(#REF!,"AAAAAFx49+Q=")</f>
        <v>#REF!</v>
      </c>
      <c r="HV60" t="e">
        <f>AND(#REF!,"AAAAAFx49+U=")</f>
        <v>#REF!</v>
      </c>
      <c r="HW60" t="e">
        <f>AND(#REF!,"AAAAAFx49+Y=")</f>
        <v>#REF!</v>
      </c>
      <c r="HX60" t="e">
        <f>AND(#REF!,"AAAAAFx49+c=")</f>
        <v>#REF!</v>
      </c>
      <c r="HY60" t="e">
        <f>AND(#REF!,"AAAAAFx49+g=")</f>
        <v>#REF!</v>
      </c>
      <c r="HZ60" t="e">
        <f>AND(#REF!,"AAAAAFx49+k=")</f>
        <v>#REF!</v>
      </c>
      <c r="IA60" t="e">
        <f>AND(#REF!,"AAAAAFx49+o=")</f>
        <v>#REF!</v>
      </c>
      <c r="IB60" t="e">
        <f>AND(#REF!,"AAAAAFx49+s=")</f>
        <v>#REF!</v>
      </c>
      <c r="IC60" t="e">
        <f>AND(#REF!,"AAAAAFx49+w=")</f>
        <v>#REF!</v>
      </c>
      <c r="ID60" t="e">
        <f>AND(#REF!,"AAAAAFx49+0=")</f>
        <v>#REF!</v>
      </c>
      <c r="IE60" t="e">
        <f>AND(#REF!,"AAAAAFx49+4=")</f>
        <v>#REF!</v>
      </c>
      <c r="IF60" t="e">
        <f>AND(#REF!,"AAAAAFx49+8=")</f>
        <v>#REF!</v>
      </c>
      <c r="IG60" t="e">
        <f>AND(#REF!,"AAAAAFx49/A=")</f>
        <v>#REF!</v>
      </c>
      <c r="IH60" t="e">
        <f>AND(#REF!,"AAAAAFx49/E=")</f>
        <v>#REF!</v>
      </c>
      <c r="II60" t="e">
        <f>AND(#REF!,"AAAAAFx49/I=")</f>
        <v>#REF!</v>
      </c>
      <c r="IJ60" t="e">
        <f>AND(#REF!,"AAAAAFx49/M=")</f>
        <v>#REF!</v>
      </c>
      <c r="IK60" t="e">
        <f>AND(#REF!,"AAAAAFx49/Q=")</f>
        <v>#REF!</v>
      </c>
      <c r="IL60" t="e">
        <f>AND(#REF!,"AAAAAFx49/U=")</f>
        <v>#REF!</v>
      </c>
      <c r="IM60" t="e">
        <f>AND(#REF!,"AAAAAFx49/Y=")</f>
        <v>#REF!</v>
      </c>
      <c r="IN60" t="e">
        <f>AND(#REF!,"AAAAAFx49/c=")</f>
        <v>#REF!</v>
      </c>
      <c r="IO60" t="e">
        <f>AND(#REF!,"AAAAAFx49/g=")</f>
        <v>#REF!</v>
      </c>
      <c r="IP60" t="e">
        <f>AND(#REF!,"AAAAAFx49/k=")</f>
        <v>#REF!</v>
      </c>
      <c r="IQ60" t="e">
        <f>AND(#REF!,"AAAAAFx49/o=")</f>
        <v>#REF!</v>
      </c>
      <c r="IR60" t="e">
        <f>AND(#REF!,"AAAAAFx49/s=")</f>
        <v>#REF!</v>
      </c>
      <c r="IS60" t="e">
        <f>AND(#REF!,"AAAAAFx49/w=")</f>
        <v>#REF!</v>
      </c>
      <c r="IT60" t="e">
        <f>AND(#REF!,"AAAAAFx49/0=")</f>
        <v>#REF!</v>
      </c>
      <c r="IU60" t="e">
        <f>AND(#REF!,"AAAAAFx49/4=")</f>
        <v>#REF!</v>
      </c>
      <c r="IV60" t="e">
        <f>AND(#REF!,"AAAAAFx49/8=")</f>
        <v>#REF!</v>
      </c>
    </row>
    <row r="61" spans="1:256" x14ac:dyDescent="0.2">
      <c r="A61" t="e">
        <f>AND(#REF!,"AAAAAFcy3wA=")</f>
        <v>#REF!</v>
      </c>
      <c r="B61" t="e">
        <f>AND(#REF!,"AAAAAFcy3wE=")</f>
        <v>#REF!</v>
      </c>
      <c r="C61" t="e">
        <f>AND(#REF!,"AAAAAFcy3wI=")</f>
        <v>#REF!</v>
      </c>
      <c r="D61" t="e">
        <f>AND(#REF!,"AAAAAFcy3wM=")</f>
        <v>#REF!</v>
      </c>
      <c r="E61" t="e">
        <f>AND(#REF!,"AAAAAFcy3wQ=")</f>
        <v>#REF!</v>
      </c>
      <c r="F61" t="e">
        <f>AND(#REF!,"AAAAAFcy3wU=")</f>
        <v>#REF!</v>
      </c>
      <c r="G61" t="e">
        <f>AND(#REF!,"AAAAAFcy3wY=")</f>
        <v>#REF!</v>
      </c>
      <c r="H61" t="e">
        <f>AND(#REF!,"AAAAAFcy3wc=")</f>
        <v>#REF!</v>
      </c>
      <c r="I61" t="e">
        <f>AND(#REF!,"AAAAAFcy3wg=")</f>
        <v>#REF!</v>
      </c>
      <c r="J61" t="e">
        <f>AND(#REF!,"AAAAAFcy3wk=")</f>
        <v>#REF!</v>
      </c>
      <c r="K61" t="e">
        <f>AND(#REF!,"AAAAAFcy3wo=")</f>
        <v>#REF!</v>
      </c>
      <c r="L61" t="e">
        <f>AND(#REF!,"AAAAAFcy3ws=")</f>
        <v>#REF!</v>
      </c>
      <c r="M61" t="e">
        <f>AND(#REF!,"AAAAAFcy3ww=")</f>
        <v>#REF!</v>
      </c>
      <c r="N61" t="e">
        <f>AND(#REF!,"AAAAAFcy3w0=")</f>
        <v>#REF!</v>
      </c>
      <c r="O61" t="e">
        <f>AND(#REF!,"AAAAAFcy3w4=")</f>
        <v>#REF!</v>
      </c>
      <c r="P61" t="e">
        <f>IF(#REF!,"AAAAAFcy3w8=",0)</f>
        <v>#REF!</v>
      </c>
      <c r="Q61" t="e">
        <f>AND(#REF!,"AAAAAFcy3xA=")</f>
        <v>#REF!</v>
      </c>
      <c r="R61" t="e">
        <f>AND(#REF!,"AAAAAFcy3xE=")</f>
        <v>#REF!</v>
      </c>
      <c r="S61" t="e">
        <f>AND(#REF!,"AAAAAFcy3xI=")</f>
        <v>#REF!</v>
      </c>
      <c r="T61" t="e">
        <f>AND(#REF!,"AAAAAFcy3xM=")</f>
        <v>#REF!</v>
      </c>
      <c r="U61" t="e">
        <f>AND(#REF!,"AAAAAFcy3xQ=")</f>
        <v>#REF!</v>
      </c>
      <c r="V61" t="e">
        <f>AND(#REF!,"AAAAAFcy3xU=")</f>
        <v>#REF!</v>
      </c>
      <c r="W61" t="e">
        <f>AND(#REF!,"AAAAAFcy3xY=")</f>
        <v>#REF!</v>
      </c>
      <c r="X61" t="e">
        <f>AND(#REF!,"AAAAAFcy3xc=")</f>
        <v>#REF!</v>
      </c>
      <c r="Y61" t="e">
        <f>AND(#REF!,"AAAAAFcy3xg=")</f>
        <v>#REF!</v>
      </c>
      <c r="Z61" t="e">
        <f>AND(#REF!,"AAAAAFcy3xk=")</f>
        <v>#REF!</v>
      </c>
      <c r="AA61" t="e">
        <f>AND(#REF!,"AAAAAFcy3xo=")</f>
        <v>#REF!</v>
      </c>
      <c r="AB61" t="e">
        <f>AND(#REF!,"AAAAAFcy3xs=")</f>
        <v>#REF!</v>
      </c>
      <c r="AC61" t="e">
        <f>AND(#REF!,"AAAAAFcy3xw=")</f>
        <v>#REF!</v>
      </c>
      <c r="AD61" t="e">
        <f>AND(#REF!,"AAAAAFcy3x0=")</f>
        <v>#REF!</v>
      </c>
      <c r="AE61" t="e">
        <f>AND(#REF!,"AAAAAFcy3x4=")</f>
        <v>#REF!</v>
      </c>
      <c r="AF61" t="e">
        <f>AND(#REF!,"AAAAAFcy3x8=")</f>
        <v>#REF!</v>
      </c>
      <c r="AG61" t="e">
        <f>AND(#REF!,"AAAAAFcy3yA=")</f>
        <v>#REF!</v>
      </c>
      <c r="AH61" t="e">
        <f>AND(#REF!,"AAAAAFcy3yE=")</f>
        <v>#REF!</v>
      </c>
      <c r="AI61" t="e">
        <f>AND(#REF!,"AAAAAFcy3yI=")</f>
        <v>#REF!</v>
      </c>
      <c r="AJ61" t="e">
        <f>AND(#REF!,"AAAAAFcy3yM=")</f>
        <v>#REF!</v>
      </c>
      <c r="AK61" t="e">
        <f>AND(#REF!,"AAAAAFcy3yQ=")</f>
        <v>#REF!</v>
      </c>
      <c r="AL61" t="e">
        <f>AND(#REF!,"AAAAAFcy3yU=")</f>
        <v>#REF!</v>
      </c>
      <c r="AM61" t="e">
        <f>AND(#REF!,"AAAAAFcy3yY=")</f>
        <v>#REF!</v>
      </c>
      <c r="AN61" t="e">
        <f>AND(#REF!,"AAAAAFcy3yc=")</f>
        <v>#REF!</v>
      </c>
      <c r="AO61" t="e">
        <f>AND(#REF!,"AAAAAFcy3yg=")</f>
        <v>#REF!</v>
      </c>
      <c r="AP61" t="e">
        <f>AND(#REF!,"AAAAAFcy3yk=")</f>
        <v>#REF!</v>
      </c>
      <c r="AQ61" t="e">
        <f>AND(#REF!,"AAAAAFcy3yo=")</f>
        <v>#REF!</v>
      </c>
      <c r="AR61" t="e">
        <f>AND(#REF!,"AAAAAFcy3ys=")</f>
        <v>#REF!</v>
      </c>
      <c r="AS61" t="e">
        <f>AND(#REF!,"AAAAAFcy3yw=")</f>
        <v>#REF!</v>
      </c>
      <c r="AT61" t="e">
        <f>AND(#REF!,"AAAAAFcy3y0=")</f>
        <v>#REF!</v>
      </c>
      <c r="AU61" t="e">
        <f>AND(#REF!,"AAAAAFcy3y4=")</f>
        <v>#REF!</v>
      </c>
      <c r="AV61" t="e">
        <f>AND(#REF!,"AAAAAFcy3y8=")</f>
        <v>#REF!</v>
      </c>
      <c r="AW61" t="e">
        <f>AND(#REF!,"AAAAAFcy3zA=")</f>
        <v>#REF!</v>
      </c>
      <c r="AX61" t="e">
        <f>AND(#REF!,"AAAAAFcy3zE=")</f>
        <v>#REF!</v>
      </c>
      <c r="AY61" t="e">
        <f>AND(#REF!,"AAAAAFcy3zI=")</f>
        <v>#REF!</v>
      </c>
      <c r="AZ61" t="e">
        <f>AND(#REF!,"AAAAAFcy3zM=")</f>
        <v>#REF!</v>
      </c>
      <c r="BA61" t="e">
        <f>AND(#REF!,"AAAAAFcy3zQ=")</f>
        <v>#REF!</v>
      </c>
      <c r="BB61" t="e">
        <f>AND(#REF!,"AAAAAFcy3zU=")</f>
        <v>#REF!</v>
      </c>
      <c r="BC61" t="e">
        <f>AND(#REF!,"AAAAAFcy3zY=")</f>
        <v>#REF!</v>
      </c>
      <c r="BD61" t="e">
        <f>AND(#REF!,"AAAAAFcy3zc=")</f>
        <v>#REF!</v>
      </c>
      <c r="BE61" t="e">
        <f>AND(#REF!,"AAAAAFcy3zg=")</f>
        <v>#REF!</v>
      </c>
      <c r="BF61" t="e">
        <f>AND(#REF!,"AAAAAFcy3zk=")</f>
        <v>#REF!</v>
      </c>
      <c r="BG61" t="e">
        <f>AND(#REF!,"AAAAAFcy3zo=")</f>
        <v>#REF!</v>
      </c>
      <c r="BH61" t="e">
        <f>AND(#REF!,"AAAAAFcy3zs=")</f>
        <v>#REF!</v>
      </c>
      <c r="BI61" t="e">
        <f>AND(#REF!,"AAAAAFcy3zw=")</f>
        <v>#REF!</v>
      </c>
      <c r="BJ61" t="e">
        <f>AND(#REF!,"AAAAAFcy3z0=")</f>
        <v>#REF!</v>
      </c>
      <c r="BK61" t="e">
        <f>AND(#REF!,"AAAAAFcy3z4=")</f>
        <v>#REF!</v>
      </c>
      <c r="BL61" t="e">
        <f>AND(#REF!,"AAAAAFcy3z8=")</f>
        <v>#REF!</v>
      </c>
      <c r="BM61" t="e">
        <f>AND(#REF!,"AAAAAFcy30A=")</f>
        <v>#REF!</v>
      </c>
      <c r="BN61" t="e">
        <f>AND(#REF!,"AAAAAFcy30E=")</f>
        <v>#REF!</v>
      </c>
      <c r="BO61" t="e">
        <f>AND(#REF!,"AAAAAFcy30I=")</f>
        <v>#REF!</v>
      </c>
      <c r="BP61" t="e">
        <f>AND(#REF!,"AAAAAFcy30M=")</f>
        <v>#REF!</v>
      </c>
      <c r="BQ61" t="e">
        <f>AND(#REF!,"AAAAAFcy30Q=")</f>
        <v>#REF!</v>
      </c>
      <c r="BR61" t="e">
        <f>AND(#REF!,"AAAAAFcy30U=")</f>
        <v>#REF!</v>
      </c>
      <c r="BS61" t="e">
        <f>AND(#REF!,"AAAAAFcy30Y=")</f>
        <v>#REF!</v>
      </c>
      <c r="BT61" t="e">
        <f>AND(#REF!,"AAAAAFcy30c=")</f>
        <v>#REF!</v>
      </c>
      <c r="BU61" t="e">
        <f>AND(#REF!,"AAAAAFcy30g=")</f>
        <v>#REF!</v>
      </c>
      <c r="BV61" t="e">
        <f>AND(#REF!,"AAAAAFcy30k=")</f>
        <v>#REF!</v>
      </c>
      <c r="BW61" t="e">
        <f>AND(#REF!,"AAAAAFcy30o=")</f>
        <v>#REF!</v>
      </c>
      <c r="BX61" t="e">
        <f>AND(#REF!,"AAAAAFcy30s=")</f>
        <v>#REF!</v>
      </c>
      <c r="BY61" t="e">
        <f>AND(#REF!,"AAAAAFcy30w=")</f>
        <v>#REF!</v>
      </c>
      <c r="BZ61" t="e">
        <f>AND(#REF!,"AAAAAFcy300=")</f>
        <v>#REF!</v>
      </c>
      <c r="CA61" t="e">
        <f>AND(#REF!,"AAAAAFcy304=")</f>
        <v>#REF!</v>
      </c>
      <c r="CB61" t="e">
        <f>AND(#REF!,"AAAAAFcy308=")</f>
        <v>#REF!</v>
      </c>
      <c r="CC61" t="e">
        <f>AND(#REF!,"AAAAAFcy31A=")</f>
        <v>#REF!</v>
      </c>
      <c r="CD61" t="e">
        <f>AND(#REF!,"AAAAAFcy31E=")</f>
        <v>#REF!</v>
      </c>
      <c r="CE61" t="e">
        <f>AND(#REF!,"AAAAAFcy31I=")</f>
        <v>#REF!</v>
      </c>
      <c r="CF61" t="e">
        <f>AND(#REF!,"AAAAAFcy31M=")</f>
        <v>#REF!</v>
      </c>
      <c r="CG61" t="e">
        <f>AND(#REF!,"AAAAAFcy31Q=")</f>
        <v>#REF!</v>
      </c>
      <c r="CH61" t="e">
        <f>AND(#REF!,"AAAAAFcy31U=")</f>
        <v>#REF!</v>
      </c>
      <c r="CI61" t="e">
        <f>AND(#REF!,"AAAAAFcy31Y=")</f>
        <v>#REF!</v>
      </c>
      <c r="CJ61" t="e">
        <f>AND(#REF!,"AAAAAFcy31c=")</f>
        <v>#REF!</v>
      </c>
      <c r="CK61" t="e">
        <f>AND(#REF!,"AAAAAFcy31g=")</f>
        <v>#REF!</v>
      </c>
      <c r="CL61" t="e">
        <f>AND(#REF!,"AAAAAFcy31k=")</f>
        <v>#REF!</v>
      </c>
      <c r="CM61" t="e">
        <f>IF(#REF!,"AAAAAFcy31o=",0)</f>
        <v>#REF!</v>
      </c>
      <c r="CN61" t="e">
        <f>AND(#REF!,"AAAAAFcy31s=")</f>
        <v>#REF!</v>
      </c>
      <c r="CO61" t="e">
        <f>AND(#REF!,"AAAAAFcy31w=")</f>
        <v>#REF!</v>
      </c>
      <c r="CP61" t="e">
        <f>AND(#REF!,"AAAAAFcy310=")</f>
        <v>#REF!</v>
      </c>
      <c r="CQ61" t="e">
        <f>AND(#REF!,"AAAAAFcy314=")</f>
        <v>#REF!</v>
      </c>
      <c r="CR61" t="e">
        <f>AND(#REF!,"AAAAAFcy318=")</f>
        <v>#REF!</v>
      </c>
      <c r="CS61" t="e">
        <f>AND(#REF!,"AAAAAFcy32A=")</f>
        <v>#REF!</v>
      </c>
      <c r="CT61" t="e">
        <f>AND(#REF!,"AAAAAFcy32E=")</f>
        <v>#REF!</v>
      </c>
      <c r="CU61" t="e">
        <f>AND(#REF!,"AAAAAFcy32I=")</f>
        <v>#REF!</v>
      </c>
      <c r="CV61" t="e">
        <f>AND(#REF!,"AAAAAFcy32M=")</f>
        <v>#REF!</v>
      </c>
      <c r="CW61" t="e">
        <f>AND(#REF!,"AAAAAFcy32Q=")</f>
        <v>#REF!</v>
      </c>
      <c r="CX61" t="e">
        <f>AND(#REF!,"AAAAAFcy32U=")</f>
        <v>#REF!</v>
      </c>
      <c r="CY61" t="e">
        <f>AND(#REF!,"AAAAAFcy32Y=")</f>
        <v>#REF!</v>
      </c>
      <c r="CZ61" t="e">
        <f>AND(#REF!,"AAAAAFcy32c=")</f>
        <v>#REF!</v>
      </c>
      <c r="DA61" t="e">
        <f>AND(#REF!,"AAAAAFcy32g=")</f>
        <v>#REF!</v>
      </c>
      <c r="DB61" t="e">
        <f>AND(#REF!,"AAAAAFcy32k=")</f>
        <v>#REF!</v>
      </c>
      <c r="DC61" t="e">
        <f>AND(#REF!,"AAAAAFcy32o=")</f>
        <v>#REF!</v>
      </c>
      <c r="DD61" t="e">
        <f>AND(#REF!,"AAAAAFcy32s=")</f>
        <v>#REF!</v>
      </c>
      <c r="DE61" t="e">
        <f>AND(#REF!,"AAAAAFcy32w=")</f>
        <v>#REF!</v>
      </c>
      <c r="DF61" t="e">
        <f>AND(#REF!,"AAAAAFcy320=")</f>
        <v>#REF!</v>
      </c>
      <c r="DG61" t="e">
        <f>AND(#REF!,"AAAAAFcy324=")</f>
        <v>#REF!</v>
      </c>
      <c r="DH61" t="e">
        <f>AND(#REF!,"AAAAAFcy328=")</f>
        <v>#REF!</v>
      </c>
      <c r="DI61" t="e">
        <f>AND(#REF!,"AAAAAFcy33A=")</f>
        <v>#REF!</v>
      </c>
      <c r="DJ61" t="e">
        <f>AND(#REF!,"AAAAAFcy33E=")</f>
        <v>#REF!</v>
      </c>
      <c r="DK61" t="e">
        <f>AND(#REF!,"AAAAAFcy33I=")</f>
        <v>#REF!</v>
      </c>
      <c r="DL61" t="e">
        <f>AND(#REF!,"AAAAAFcy33M=")</f>
        <v>#REF!</v>
      </c>
      <c r="DM61" t="e">
        <f>AND(#REF!,"AAAAAFcy33Q=")</f>
        <v>#REF!</v>
      </c>
      <c r="DN61" t="e">
        <f>AND(#REF!,"AAAAAFcy33U=")</f>
        <v>#REF!</v>
      </c>
      <c r="DO61" t="e">
        <f>AND(#REF!,"AAAAAFcy33Y=")</f>
        <v>#REF!</v>
      </c>
      <c r="DP61" t="e">
        <f>AND(#REF!,"AAAAAFcy33c=")</f>
        <v>#REF!</v>
      </c>
      <c r="DQ61" t="e">
        <f>AND(#REF!,"AAAAAFcy33g=")</f>
        <v>#REF!</v>
      </c>
      <c r="DR61" t="e">
        <f>AND(#REF!,"AAAAAFcy33k=")</f>
        <v>#REF!</v>
      </c>
      <c r="DS61" t="e">
        <f>AND(#REF!,"AAAAAFcy33o=")</f>
        <v>#REF!</v>
      </c>
      <c r="DT61" t="e">
        <f>AND(#REF!,"AAAAAFcy33s=")</f>
        <v>#REF!</v>
      </c>
      <c r="DU61" t="e">
        <f>AND(#REF!,"AAAAAFcy33w=")</f>
        <v>#REF!</v>
      </c>
      <c r="DV61" t="e">
        <f>AND(#REF!,"AAAAAFcy330=")</f>
        <v>#REF!</v>
      </c>
      <c r="DW61" t="e">
        <f>AND(#REF!,"AAAAAFcy334=")</f>
        <v>#REF!</v>
      </c>
      <c r="DX61" t="e">
        <f>AND(#REF!,"AAAAAFcy338=")</f>
        <v>#REF!</v>
      </c>
      <c r="DY61" t="e">
        <f>AND(#REF!,"AAAAAFcy34A=")</f>
        <v>#REF!</v>
      </c>
      <c r="DZ61" t="e">
        <f>AND(#REF!,"AAAAAFcy34E=")</f>
        <v>#REF!</v>
      </c>
      <c r="EA61" t="e">
        <f>AND(#REF!,"AAAAAFcy34I=")</f>
        <v>#REF!</v>
      </c>
      <c r="EB61" t="e">
        <f>AND(#REF!,"AAAAAFcy34M=")</f>
        <v>#REF!</v>
      </c>
      <c r="EC61" t="e">
        <f>AND(#REF!,"AAAAAFcy34Q=")</f>
        <v>#REF!</v>
      </c>
      <c r="ED61" t="e">
        <f>AND(#REF!,"AAAAAFcy34U=")</f>
        <v>#REF!</v>
      </c>
      <c r="EE61" t="e">
        <f>AND(#REF!,"AAAAAFcy34Y=")</f>
        <v>#REF!</v>
      </c>
      <c r="EF61" t="e">
        <f>AND(#REF!,"AAAAAFcy34c=")</f>
        <v>#REF!</v>
      </c>
      <c r="EG61" t="e">
        <f>AND(#REF!,"AAAAAFcy34g=")</f>
        <v>#REF!</v>
      </c>
      <c r="EH61" t="e">
        <f>AND(#REF!,"AAAAAFcy34k=")</f>
        <v>#REF!</v>
      </c>
      <c r="EI61" t="e">
        <f>AND(#REF!,"AAAAAFcy34o=")</f>
        <v>#REF!</v>
      </c>
      <c r="EJ61" t="e">
        <f>AND(#REF!,"AAAAAFcy34s=")</f>
        <v>#REF!</v>
      </c>
      <c r="EK61" t="e">
        <f>AND(#REF!,"AAAAAFcy34w=")</f>
        <v>#REF!</v>
      </c>
      <c r="EL61" t="e">
        <f>AND(#REF!,"AAAAAFcy340=")</f>
        <v>#REF!</v>
      </c>
      <c r="EM61" t="e">
        <f>AND(#REF!,"AAAAAFcy344=")</f>
        <v>#REF!</v>
      </c>
      <c r="EN61" t="e">
        <f>AND(#REF!,"AAAAAFcy348=")</f>
        <v>#REF!</v>
      </c>
      <c r="EO61" t="e">
        <f>AND(#REF!,"AAAAAFcy35A=")</f>
        <v>#REF!</v>
      </c>
      <c r="EP61" t="e">
        <f>AND(#REF!,"AAAAAFcy35E=")</f>
        <v>#REF!</v>
      </c>
      <c r="EQ61" t="e">
        <f>AND(#REF!,"AAAAAFcy35I=")</f>
        <v>#REF!</v>
      </c>
      <c r="ER61" t="e">
        <f>AND(#REF!,"AAAAAFcy35M=")</f>
        <v>#REF!</v>
      </c>
      <c r="ES61" t="e">
        <f>AND(#REF!,"AAAAAFcy35Q=")</f>
        <v>#REF!</v>
      </c>
      <c r="ET61" t="e">
        <f>AND(#REF!,"AAAAAFcy35U=")</f>
        <v>#REF!</v>
      </c>
      <c r="EU61" t="e">
        <f>AND(#REF!,"AAAAAFcy35Y=")</f>
        <v>#REF!</v>
      </c>
      <c r="EV61" t="e">
        <f>AND(#REF!,"AAAAAFcy35c=")</f>
        <v>#REF!</v>
      </c>
      <c r="EW61" t="e">
        <f>AND(#REF!,"AAAAAFcy35g=")</f>
        <v>#REF!</v>
      </c>
      <c r="EX61" t="e">
        <f>AND(#REF!,"AAAAAFcy35k=")</f>
        <v>#REF!</v>
      </c>
      <c r="EY61" t="e">
        <f>AND(#REF!,"AAAAAFcy35o=")</f>
        <v>#REF!</v>
      </c>
      <c r="EZ61" t="e">
        <f>AND(#REF!,"AAAAAFcy35s=")</f>
        <v>#REF!</v>
      </c>
      <c r="FA61" t="e">
        <f>AND(#REF!,"AAAAAFcy35w=")</f>
        <v>#REF!</v>
      </c>
      <c r="FB61" t="e">
        <f>AND(#REF!,"AAAAAFcy350=")</f>
        <v>#REF!</v>
      </c>
      <c r="FC61" t="e">
        <f>AND(#REF!,"AAAAAFcy354=")</f>
        <v>#REF!</v>
      </c>
      <c r="FD61" t="e">
        <f>AND(#REF!,"AAAAAFcy358=")</f>
        <v>#REF!</v>
      </c>
      <c r="FE61" t="e">
        <f>AND(#REF!,"AAAAAFcy36A=")</f>
        <v>#REF!</v>
      </c>
      <c r="FF61" t="e">
        <f>AND(#REF!,"AAAAAFcy36E=")</f>
        <v>#REF!</v>
      </c>
      <c r="FG61" t="e">
        <f>AND(#REF!,"AAAAAFcy36I=")</f>
        <v>#REF!</v>
      </c>
      <c r="FH61" t="e">
        <f>AND(#REF!,"AAAAAFcy36M=")</f>
        <v>#REF!</v>
      </c>
      <c r="FI61" t="e">
        <f>AND(#REF!,"AAAAAFcy36Q=")</f>
        <v>#REF!</v>
      </c>
      <c r="FJ61" t="e">
        <f>IF(#REF!,"AAAAAFcy36U=",0)</f>
        <v>#REF!</v>
      </c>
      <c r="FK61" t="e">
        <f>AND(#REF!,"AAAAAFcy36Y=")</f>
        <v>#REF!</v>
      </c>
      <c r="FL61" t="e">
        <f>AND(#REF!,"AAAAAFcy36c=")</f>
        <v>#REF!</v>
      </c>
      <c r="FM61" t="e">
        <f>AND(#REF!,"AAAAAFcy36g=")</f>
        <v>#REF!</v>
      </c>
      <c r="FN61" t="e">
        <f>AND(#REF!,"AAAAAFcy36k=")</f>
        <v>#REF!</v>
      </c>
      <c r="FO61" t="e">
        <f>AND(#REF!,"AAAAAFcy36o=")</f>
        <v>#REF!</v>
      </c>
      <c r="FP61" t="e">
        <f>AND(#REF!,"AAAAAFcy36s=")</f>
        <v>#REF!</v>
      </c>
      <c r="FQ61" t="e">
        <f>AND(#REF!,"AAAAAFcy36w=")</f>
        <v>#REF!</v>
      </c>
      <c r="FR61" t="e">
        <f>AND(#REF!,"AAAAAFcy360=")</f>
        <v>#REF!</v>
      </c>
      <c r="FS61" t="e">
        <f>AND(#REF!,"AAAAAFcy364=")</f>
        <v>#REF!</v>
      </c>
      <c r="FT61" t="e">
        <f>AND(#REF!,"AAAAAFcy368=")</f>
        <v>#REF!</v>
      </c>
      <c r="FU61" t="e">
        <f>AND(#REF!,"AAAAAFcy37A=")</f>
        <v>#REF!</v>
      </c>
      <c r="FV61" t="e">
        <f>AND(#REF!,"AAAAAFcy37E=")</f>
        <v>#REF!</v>
      </c>
      <c r="FW61" t="e">
        <f>AND(#REF!,"AAAAAFcy37I=")</f>
        <v>#REF!</v>
      </c>
      <c r="FX61" t="e">
        <f>AND(#REF!,"AAAAAFcy37M=")</f>
        <v>#REF!</v>
      </c>
      <c r="FY61" t="e">
        <f>AND(#REF!,"AAAAAFcy37Q=")</f>
        <v>#REF!</v>
      </c>
      <c r="FZ61" t="e">
        <f>AND(#REF!,"AAAAAFcy37U=")</f>
        <v>#REF!</v>
      </c>
      <c r="GA61" t="e">
        <f>AND(#REF!,"AAAAAFcy37Y=")</f>
        <v>#REF!</v>
      </c>
      <c r="GB61" t="e">
        <f>AND(#REF!,"AAAAAFcy37c=")</f>
        <v>#REF!</v>
      </c>
      <c r="GC61" t="e">
        <f>AND(#REF!,"AAAAAFcy37g=")</f>
        <v>#REF!</v>
      </c>
      <c r="GD61" t="e">
        <f>AND(#REF!,"AAAAAFcy37k=")</f>
        <v>#REF!</v>
      </c>
      <c r="GE61" t="e">
        <f>AND(#REF!,"AAAAAFcy37o=")</f>
        <v>#REF!</v>
      </c>
      <c r="GF61" t="e">
        <f>AND(#REF!,"AAAAAFcy37s=")</f>
        <v>#REF!</v>
      </c>
      <c r="GG61" t="e">
        <f>AND(#REF!,"AAAAAFcy37w=")</f>
        <v>#REF!</v>
      </c>
      <c r="GH61" t="e">
        <f>AND(#REF!,"AAAAAFcy370=")</f>
        <v>#REF!</v>
      </c>
      <c r="GI61" t="e">
        <f>AND(#REF!,"AAAAAFcy374=")</f>
        <v>#REF!</v>
      </c>
      <c r="GJ61" t="e">
        <f>AND(#REF!,"AAAAAFcy378=")</f>
        <v>#REF!</v>
      </c>
      <c r="GK61" t="e">
        <f>AND(#REF!,"AAAAAFcy38A=")</f>
        <v>#REF!</v>
      </c>
      <c r="GL61" t="e">
        <f>AND(#REF!,"AAAAAFcy38E=")</f>
        <v>#REF!</v>
      </c>
      <c r="GM61" t="e">
        <f>AND(#REF!,"AAAAAFcy38I=")</f>
        <v>#REF!</v>
      </c>
      <c r="GN61" t="e">
        <f>AND(#REF!,"AAAAAFcy38M=")</f>
        <v>#REF!</v>
      </c>
      <c r="GO61" t="e">
        <f>AND(#REF!,"AAAAAFcy38Q=")</f>
        <v>#REF!</v>
      </c>
      <c r="GP61" t="e">
        <f>AND(#REF!,"AAAAAFcy38U=")</f>
        <v>#REF!</v>
      </c>
      <c r="GQ61" t="e">
        <f>AND(#REF!,"AAAAAFcy38Y=")</f>
        <v>#REF!</v>
      </c>
      <c r="GR61" t="e">
        <f>AND(#REF!,"AAAAAFcy38c=")</f>
        <v>#REF!</v>
      </c>
      <c r="GS61" t="e">
        <f>AND(#REF!,"AAAAAFcy38g=")</f>
        <v>#REF!</v>
      </c>
      <c r="GT61" t="e">
        <f>AND(#REF!,"AAAAAFcy38k=")</f>
        <v>#REF!</v>
      </c>
      <c r="GU61" t="e">
        <f>AND(#REF!,"AAAAAFcy38o=")</f>
        <v>#REF!</v>
      </c>
      <c r="GV61" t="e">
        <f>AND(#REF!,"AAAAAFcy38s=")</f>
        <v>#REF!</v>
      </c>
      <c r="GW61" t="e">
        <f>AND(#REF!,"AAAAAFcy38w=")</f>
        <v>#REF!</v>
      </c>
      <c r="GX61" t="e">
        <f>AND(#REF!,"AAAAAFcy380=")</f>
        <v>#REF!</v>
      </c>
      <c r="GY61" t="e">
        <f>AND(#REF!,"AAAAAFcy384=")</f>
        <v>#REF!</v>
      </c>
      <c r="GZ61" t="e">
        <f>AND(#REF!,"AAAAAFcy388=")</f>
        <v>#REF!</v>
      </c>
      <c r="HA61" t="e">
        <f>AND(#REF!,"AAAAAFcy39A=")</f>
        <v>#REF!</v>
      </c>
      <c r="HB61" t="e">
        <f>AND(#REF!,"AAAAAFcy39E=")</f>
        <v>#REF!</v>
      </c>
      <c r="HC61" t="e">
        <f>AND(#REF!,"AAAAAFcy39I=")</f>
        <v>#REF!</v>
      </c>
      <c r="HD61" t="e">
        <f>AND(#REF!,"AAAAAFcy39M=")</f>
        <v>#REF!</v>
      </c>
      <c r="HE61" t="e">
        <f>AND(#REF!,"AAAAAFcy39Q=")</f>
        <v>#REF!</v>
      </c>
      <c r="HF61" t="e">
        <f>AND(#REF!,"AAAAAFcy39U=")</f>
        <v>#REF!</v>
      </c>
      <c r="HG61" t="e">
        <f>AND(#REF!,"AAAAAFcy39Y=")</f>
        <v>#REF!</v>
      </c>
      <c r="HH61" t="e">
        <f>AND(#REF!,"AAAAAFcy39c=")</f>
        <v>#REF!</v>
      </c>
      <c r="HI61" t="e">
        <f>AND(#REF!,"AAAAAFcy39g=")</f>
        <v>#REF!</v>
      </c>
      <c r="HJ61" t="e">
        <f>AND(#REF!,"AAAAAFcy39k=")</f>
        <v>#REF!</v>
      </c>
      <c r="HK61" t="e">
        <f>AND(#REF!,"AAAAAFcy39o=")</f>
        <v>#REF!</v>
      </c>
      <c r="HL61" t="e">
        <f>AND(#REF!,"AAAAAFcy39s=")</f>
        <v>#REF!</v>
      </c>
      <c r="HM61" t="e">
        <f>AND(#REF!,"AAAAAFcy39w=")</f>
        <v>#REF!</v>
      </c>
      <c r="HN61" t="e">
        <f>AND(#REF!,"AAAAAFcy390=")</f>
        <v>#REF!</v>
      </c>
      <c r="HO61" t="e">
        <f>AND(#REF!,"AAAAAFcy394=")</f>
        <v>#REF!</v>
      </c>
      <c r="HP61" t="e">
        <f>AND(#REF!,"AAAAAFcy398=")</f>
        <v>#REF!</v>
      </c>
      <c r="HQ61" t="e">
        <f>AND(#REF!,"AAAAAFcy3+A=")</f>
        <v>#REF!</v>
      </c>
      <c r="HR61" t="e">
        <f>AND(#REF!,"AAAAAFcy3+E=")</f>
        <v>#REF!</v>
      </c>
      <c r="HS61" t="e">
        <f>AND(#REF!,"AAAAAFcy3+I=")</f>
        <v>#REF!</v>
      </c>
      <c r="HT61" t="e">
        <f>AND(#REF!,"AAAAAFcy3+M=")</f>
        <v>#REF!</v>
      </c>
      <c r="HU61" t="e">
        <f>AND(#REF!,"AAAAAFcy3+Q=")</f>
        <v>#REF!</v>
      </c>
      <c r="HV61" t="e">
        <f>AND(#REF!,"AAAAAFcy3+U=")</f>
        <v>#REF!</v>
      </c>
      <c r="HW61" t="e">
        <f>AND(#REF!,"AAAAAFcy3+Y=")</f>
        <v>#REF!</v>
      </c>
      <c r="HX61" t="e">
        <f>AND(#REF!,"AAAAAFcy3+c=")</f>
        <v>#REF!</v>
      </c>
      <c r="HY61" t="e">
        <f>AND(#REF!,"AAAAAFcy3+g=")</f>
        <v>#REF!</v>
      </c>
      <c r="HZ61" t="e">
        <f>AND(#REF!,"AAAAAFcy3+k=")</f>
        <v>#REF!</v>
      </c>
      <c r="IA61" t="e">
        <f>AND(#REF!,"AAAAAFcy3+o=")</f>
        <v>#REF!</v>
      </c>
      <c r="IB61" t="e">
        <f>AND(#REF!,"AAAAAFcy3+s=")</f>
        <v>#REF!</v>
      </c>
      <c r="IC61" t="e">
        <f>AND(#REF!,"AAAAAFcy3+w=")</f>
        <v>#REF!</v>
      </c>
      <c r="ID61" t="e">
        <f>AND(#REF!,"AAAAAFcy3+0=")</f>
        <v>#REF!</v>
      </c>
      <c r="IE61" t="e">
        <f>AND(#REF!,"AAAAAFcy3+4=")</f>
        <v>#REF!</v>
      </c>
      <c r="IF61" t="e">
        <f>AND(#REF!,"AAAAAFcy3+8=")</f>
        <v>#REF!</v>
      </c>
      <c r="IG61" t="e">
        <f>IF(#REF!,"AAAAAFcy3/A=",0)</f>
        <v>#REF!</v>
      </c>
      <c r="IH61" t="e">
        <f>AND(#REF!,"AAAAAFcy3/E=")</f>
        <v>#REF!</v>
      </c>
      <c r="II61" t="e">
        <f>AND(#REF!,"AAAAAFcy3/I=")</f>
        <v>#REF!</v>
      </c>
      <c r="IJ61" t="e">
        <f>AND(#REF!,"AAAAAFcy3/M=")</f>
        <v>#REF!</v>
      </c>
      <c r="IK61" t="e">
        <f>AND(#REF!,"AAAAAFcy3/Q=")</f>
        <v>#REF!</v>
      </c>
      <c r="IL61" t="e">
        <f>AND(#REF!,"AAAAAFcy3/U=")</f>
        <v>#REF!</v>
      </c>
      <c r="IM61" t="e">
        <f>AND(#REF!,"AAAAAFcy3/Y=")</f>
        <v>#REF!</v>
      </c>
      <c r="IN61" t="e">
        <f>AND(#REF!,"AAAAAFcy3/c=")</f>
        <v>#REF!</v>
      </c>
      <c r="IO61" t="e">
        <f>AND(#REF!,"AAAAAFcy3/g=")</f>
        <v>#REF!</v>
      </c>
      <c r="IP61" t="e">
        <f>AND(#REF!,"AAAAAFcy3/k=")</f>
        <v>#REF!</v>
      </c>
      <c r="IQ61" t="e">
        <f>AND(#REF!,"AAAAAFcy3/o=")</f>
        <v>#REF!</v>
      </c>
      <c r="IR61" t="e">
        <f>AND(#REF!,"AAAAAFcy3/s=")</f>
        <v>#REF!</v>
      </c>
      <c r="IS61" t="e">
        <f>AND(#REF!,"AAAAAFcy3/w=")</f>
        <v>#REF!</v>
      </c>
      <c r="IT61" t="e">
        <f>AND(#REF!,"AAAAAFcy3/0=")</f>
        <v>#REF!</v>
      </c>
      <c r="IU61" t="e">
        <f>AND(#REF!,"AAAAAFcy3/4=")</f>
        <v>#REF!</v>
      </c>
      <c r="IV61" t="e">
        <f>AND(#REF!,"AAAAAFcy3/8=")</f>
        <v>#REF!</v>
      </c>
    </row>
    <row r="62" spans="1:256" x14ac:dyDescent="0.2">
      <c r="A62" t="e">
        <f>AND(#REF!,"AAAAAFxt3wA=")</f>
        <v>#REF!</v>
      </c>
      <c r="B62" t="e">
        <f>AND(#REF!,"AAAAAFxt3wE=")</f>
        <v>#REF!</v>
      </c>
      <c r="C62" t="e">
        <f>AND(#REF!,"AAAAAFxt3wI=")</f>
        <v>#REF!</v>
      </c>
      <c r="D62" t="e">
        <f>AND(#REF!,"AAAAAFxt3wM=")</f>
        <v>#REF!</v>
      </c>
      <c r="E62" t="e">
        <f>AND(#REF!,"AAAAAFxt3wQ=")</f>
        <v>#REF!</v>
      </c>
      <c r="F62" t="e">
        <f>AND(#REF!,"AAAAAFxt3wU=")</f>
        <v>#REF!</v>
      </c>
      <c r="G62" t="e">
        <f>AND(#REF!,"AAAAAFxt3wY=")</f>
        <v>#REF!</v>
      </c>
      <c r="H62" t="e">
        <f>AND(#REF!,"AAAAAFxt3wc=")</f>
        <v>#REF!</v>
      </c>
      <c r="I62" t="e">
        <f>AND(#REF!,"AAAAAFxt3wg=")</f>
        <v>#REF!</v>
      </c>
      <c r="J62" t="e">
        <f>AND(#REF!,"AAAAAFxt3wk=")</f>
        <v>#REF!</v>
      </c>
      <c r="K62" t="e">
        <f>AND(#REF!,"AAAAAFxt3wo=")</f>
        <v>#REF!</v>
      </c>
      <c r="L62" t="e">
        <f>AND(#REF!,"AAAAAFxt3ws=")</f>
        <v>#REF!</v>
      </c>
      <c r="M62" t="e">
        <f>AND(#REF!,"AAAAAFxt3ww=")</f>
        <v>#REF!</v>
      </c>
      <c r="N62" t="e">
        <f>AND(#REF!,"AAAAAFxt3w0=")</f>
        <v>#REF!</v>
      </c>
      <c r="O62" t="e">
        <f>AND(#REF!,"AAAAAFxt3w4=")</f>
        <v>#REF!</v>
      </c>
      <c r="P62" t="e">
        <f>AND(#REF!,"AAAAAFxt3w8=")</f>
        <v>#REF!</v>
      </c>
      <c r="Q62" t="e">
        <f>AND(#REF!,"AAAAAFxt3xA=")</f>
        <v>#REF!</v>
      </c>
      <c r="R62" t="e">
        <f>AND(#REF!,"AAAAAFxt3xE=")</f>
        <v>#REF!</v>
      </c>
      <c r="S62" t="e">
        <f>AND(#REF!,"AAAAAFxt3xI=")</f>
        <v>#REF!</v>
      </c>
      <c r="T62" t="e">
        <f>AND(#REF!,"AAAAAFxt3xM=")</f>
        <v>#REF!</v>
      </c>
      <c r="U62" t="e">
        <f>AND(#REF!,"AAAAAFxt3xQ=")</f>
        <v>#REF!</v>
      </c>
      <c r="V62" t="e">
        <f>AND(#REF!,"AAAAAFxt3xU=")</f>
        <v>#REF!</v>
      </c>
      <c r="W62" t="e">
        <f>AND(#REF!,"AAAAAFxt3xY=")</f>
        <v>#REF!</v>
      </c>
      <c r="X62" t="e">
        <f>AND(#REF!,"AAAAAFxt3xc=")</f>
        <v>#REF!</v>
      </c>
      <c r="Y62" t="e">
        <f>AND(#REF!,"AAAAAFxt3xg=")</f>
        <v>#REF!</v>
      </c>
      <c r="Z62" t="e">
        <f>AND(#REF!,"AAAAAFxt3xk=")</f>
        <v>#REF!</v>
      </c>
      <c r="AA62" t="e">
        <f>AND(#REF!,"AAAAAFxt3xo=")</f>
        <v>#REF!</v>
      </c>
      <c r="AB62" t="e">
        <f>AND(#REF!,"AAAAAFxt3xs=")</f>
        <v>#REF!</v>
      </c>
      <c r="AC62" t="e">
        <f>AND(#REF!,"AAAAAFxt3xw=")</f>
        <v>#REF!</v>
      </c>
      <c r="AD62" t="e">
        <f>AND(#REF!,"AAAAAFxt3x0=")</f>
        <v>#REF!</v>
      </c>
      <c r="AE62" t="e">
        <f>AND(#REF!,"AAAAAFxt3x4=")</f>
        <v>#REF!</v>
      </c>
      <c r="AF62" t="e">
        <f>AND(#REF!,"AAAAAFxt3x8=")</f>
        <v>#REF!</v>
      </c>
      <c r="AG62" t="e">
        <f>AND(#REF!,"AAAAAFxt3yA=")</f>
        <v>#REF!</v>
      </c>
      <c r="AH62" t="e">
        <f>AND(#REF!,"AAAAAFxt3yE=")</f>
        <v>#REF!</v>
      </c>
      <c r="AI62" t="e">
        <f>AND(#REF!,"AAAAAFxt3yI=")</f>
        <v>#REF!</v>
      </c>
      <c r="AJ62" t="e">
        <f>AND(#REF!,"AAAAAFxt3yM=")</f>
        <v>#REF!</v>
      </c>
      <c r="AK62" t="e">
        <f>AND(#REF!,"AAAAAFxt3yQ=")</f>
        <v>#REF!</v>
      </c>
      <c r="AL62" t="e">
        <f>AND(#REF!,"AAAAAFxt3yU=")</f>
        <v>#REF!</v>
      </c>
      <c r="AM62" t="e">
        <f>AND(#REF!,"AAAAAFxt3yY=")</f>
        <v>#REF!</v>
      </c>
      <c r="AN62" t="e">
        <f>AND(#REF!,"AAAAAFxt3yc=")</f>
        <v>#REF!</v>
      </c>
      <c r="AO62" t="e">
        <f>AND(#REF!,"AAAAAFxt3yg=")</f>
        <v>#REF!</v>
      </c>
      <c r="AP62" t="e">
        <f>AND(#REF!,"AAAAAFxt3yk=")</f>
        <v>#REF!</v>
      </c>
      <c r="AQ62" t="e">
        <f>AND(#REF!,"AAAAAFxt3yo=")</f>
        <v>#REF!</v>
      </c>
      <c r="AR62" t="e">
        <f>AND(#REF!,"AAAAAFxt3ys=")</f>
        <v>#REF!</v>
      </c>
      <c r="AS62" t="e">
        <f>AND(#REF!,"AAAAAFxt3yw=")</f>
        <v>#REF!</v>
      </c>
      <c r="AT62" t="e">
        <f>AND(#REF!,"AAAAAFxt3y0=")</f>
        <v>#REF!</v>
      </c>
      <c r="AU62" t="e">
        <f>AND(#REF!,"AAAAAFxt3y4=")</f>
        <v>#REF!</v>
      </c>
      <c r="AV62" t="e">
        <f>AND(#REF!,"AAAAAFxt3y8=")</f>
        <v>#REF!</v>
      </c>
      <c r="AW62" t="e">
        <f>AND(#REF!,"AAAAAFxt3zA=")</f>
        <v>#REF!</v>
      </c>
      <c r="AX62" t="e">
        <f>AND(#REF!,"AAAAAFxt3zE=")</f>
        <v>#REF!</v>
      </c>
      <c r="AY62" t="e">
        <f>AND(#REF!,"AAAAAFxt3zI=")</f>
        <v>#REF!</v>
      </c>
      <c r="AZ62" t="e">
        <f>AND(#REF!,"AAAAAFxt3zM=")</f>
        <v>#REF!</v>
      </c>
      <c r="BA62" t="e">
        <f>AND(#REF!,"AAAAAFxt3zQ=")</f>
        <v>#REF!</v>
      </c>
      <c r="BB62" t="e">
        <f>AND(#REF!,"AAAAAFxt3zU=")</f>
        <v>#REF!</v>
      </c>
      <c r="BC62" t="e">
        <f>AND(#REF!,"AAAAAFxt3zY=")</f>
        <v>#REF!</v>
      </c>
      <c r="BD62" t="e">
        <f>AND(#REF!,"AAAAAFxt3zc=")</f>
        <v>#REF!</v>
      </c>
      <c r="BE62" t="e">
        <f>AND(#REF!,"AAAAAFxt3zg=")</f>
        <v>#REF!</v>
      </c>
      <c r="BF62" t="e">
        <f>AND(#REF!,"AAAAAFxt3zk=")</f>
        <v>#REF!</v>
      </c>
      <c r="BG62" t="e">
        <f>AND(#REF!,"AAAAAFxt3zo=")</f>
        <v>#REF!</v>
      </c>
      <c r="BH62" t="e">
        <f>IF(#REF!,"AAAAAFxt3zs=",0)</f>
        <v>#REF!</v>
      </c>
      <c r="BI62" t="e">
        <f>AND(#REF!,"AAAAAFxt3zw=")</f>
        <v>#REF!</v>
      </c>
      <c r="BJ62" t="e">
        <f>AND(#REF!,"AAAAAFxt3z0=")</f>
        <v>#REF!</v>
      </c>
      <c r="BK62" t="e">
        <f>AND(#REF!,"AAAAAFxt3z4=")</f>
        <v>#REF!</v>
      </c>
      <c r="BL62" t="e">
        <f>AND(#REF!,"AAAAAFxt3z8=")</f>
        <v>#REF!</v>
      </c>
      <c r="BM62" t="e">
        <f>AND(#REF!,"AAAAAFxt30A=")</f>
        <v>#REF!</v>
      </c>
      <c r="BN62" t="e">
        <f>AND(#REF!,"AAAAAFxt30E=")</f>
        <v>#REF!</v>
      </c>
      <c r="BO62" t="e">
        <f>AND(#REF!,"AAAAAFxt30I=")</f>
        <v>#REF!</v>
      </c>
      <c r="BP62" t="e">
        <f>AND(#REF!,"AAAAAFxt30M=")</f>
        <v>#REF!</v>
      </c>
      <c r="BQ62" t="e">
        <f>AND(#REF!,"AAAAAFxt30Q=")</f>
        <v>#REF!</v>
      </c>
      <c r="BR62" t="e">
        <f>AND(#REF!,"AAAAAFxt30U=")</f>
        <v>#REF!</v>
      </c>
      <c r="BS62" t="e">
        <f>AND(#REF!,"AAAAAFxt30Y=")</f>
        <v>#REF!</v>
      </c>
      <c r="BT62" t="e">
        <f>AND(#REF!,"AAAAAFxt30c=")</f>
        <v>#REF!</v>
      </c>
      <c r="BU62" t="e">
        <f>AND(#REF!,"AAAAAFxt30g=")</f>
        <v>#REF!</v>
      </c>
      <c r="BV62" t="e">
        <f>AND(#REF!,"AAAAAFxt30k=")</f>
        <v>#REF!</v>
      </c>
      <c r="BW62" t="e">
        <f>AND(#REF!,"AAAAAFxt30o=")</f>
        <v>#REF!</v>
      </c>
      <c r="BX62" t="e">
        <f>AND(#REF!,"AAAAAFxt30s=")</f>
        <v>#REF!</v>
      </c>
      <c r="BY62" t="e">
        <f>AND(#REF!,"AAAAAFxt30w=")</f>
        <v>#REF!</v>
      </c>
      <c r="BZ62" t="e">
        <f>AND(#REF!,"AAAAAFxt300=")</f>
        <v>#REF!</v>
      </c>
      <c r="CA62" t="e">
        <f>AND(#REF!,"AAAAAFxt304=")</f>
        <v>#REF!</v>
      </c>
      <c r="CB62" t="e">
        <f>AND(#REF!,"AAAAAFxt308=")</f>
        <v>#REF!</v>
      </c>
      <c r="CC62" t="e">
        <f>AND(#REF!,"AAAAAFxt31A=")</f>
        <v>#REF!</v>
      </c>
      <c r="CD62" t="e">
        <f>AND(#REF!,"AAAAAFxt31E=")</f>
        <v>#REF!</v>
      </c>
      <c r="CE62" t="e">
        <f>AND(#REF!,"AAAAAFxt31I=")</f>
        <v>#REF!</v>
      </c>
      <c r="CF62" t="e">
        <f>AND(#REF!,"AAAAAFxt31M=")</f>
        <v>#REF!</v>
      </c>
      <c r="CG62" t="e">
        <f>AND(#REF!,"AAAAAFxt31Q=")</f>
        <v>#REF!</v>
      </c>
      <c r="CH62" t="e">
        <f>AND(#REF!,"AAAAAFxt31U=")</f>
        <v>#REF!</v>
      </c>
      <c r="CI62" t="e">
        <f>AND(#REF!,"AAAAAFxt31Y=")</f>
        <v>#REF!</v>
      </c>
      <c r="CJ62" t="e">
        <f>AND(#REF!,"AAAAAFxt31c=")</f>
        <v>#REF!</v>
      </c>
      <c r="CK62" t="e">
        <f>AND(#REF!,"AAAAAFxt31g=")</f>
        <v>#REF!</v>
      </c>
      <c r="CL62" t="e">
        <f>AND(#REF!,"AAAAAFxt31k=")</f>
        <v>#REF!</v>
      </c>
      <c r="CM62" t="e">
        <f>AND(#REF!,"AAAAAFxt31o=")</f>
        <v>#REF!</v>
      </c>
      <c r="CN62" t="e">
        <f>AND(#REF!,"AAAAAFxt31s=")</f>
        <v>#REF!</v>
      </c>
      <c r="CO62" t="e">
        <f>AND(#REF!,"AAAAAFxt31w=")</f>
        <v>#REF!</v>
      </c>
      <c r="CP62" t="e">
        <f>AND(#REF!,"AAAAAFxt310=")</f>
        <v>#REF!</v>
      </c>
      <c r="CQ62" t="e">
        <f>AND(#REF!,"AAAAAFxt314=")</f>
        <v>#REF!</v>
      </c>
      <c r="CR62" t="e">
        <f>AND(#REF!,"AAAAAFxt318=")</f>
        <v>#REF!</v>
      </c>
      <c r="CS62" t="e">
        <f>AND(#REF!,"AAAAAFxt32A=")</f>
        <v>#REF!</v>
      </c>
      <c r="CT62" t="e">
        <f>AND(#REF!,"AAAAAFxt32E=")</f>
        <v>#REF!</v>
      </c>
      <c r="CU62" t="e">
        <f>AND(#REF!,"AAAAAFxt32I=")</f>
        <v>#REF!</v>
      </c>
      <c r="CV62" t="e">
        <f>AND(#REF!,"AAAAAFxt32M=")</f>
        <v>#REF!</v>
      </c>
      <c r="CW62" t="e">
        <f>AND(#REF!,"AAAAAFxt32Q=")</f>
        <v>#REF!</v>
      </c>
      <c r="CX62" t="e">
        <f>AND(#REF!,"AAAAAFxt32U=")</f>
        <v>#REF!</v>
      </c>
      <c r="CY62" t="e">
        <f>AND(#REF!,"AAAAAFxt32Y=")</f>
        <v>#REF!</v>
      </c>
      <c r="CZ62" t="e">
        <f>AND(#REF!,"AAAAAFxt32c=")</f>
        <v>#REF!</v>
      </c>
      <c r="DA62" t="e">
        <f>AND(#REF!,"AAAAAFxt32g=")</f>
        <v>#REF!</v>
      </c>
      <c r="DB62" t="e">
        <f>AND(#REF!,"AAAAAFxt32k=")</f>
        <v>#REF!</v>
      </c>
      <c r="DC62" t="e">
        <f>AND(#REF!,"AAAAAFxt32o=")</f>
        <v>#REF!</v>
      </c>
      <c r="DD62" t="e">
        <f>AND(#REF!,"AAAAAFxt32s=")</f>
        <v>#REF!</v>
      </c>
      <c r="DE62" t="e">
        <f>AND(#REF!,"AAAAAFxt32w=")</f>
        <v>#REF!</v>
      </c>
      <c r="DF62" t="e">
        <f>AND(#REF!,"AAAAAFxt320=")</f>
        <v>#REF!</v>
      </c>
      <c r="DG62" t="e">
        <f>AND(#REF!,"AAAAAFxt324=")</f>
        <v>#REF!</v>
      </c>
      <c r="DH62" t="e">
        <f>AND(#REF!,"AAAAAFxt328=")</f>
        <v>#REF!</v>
      </c>
      <c r="DI62" t="e">
        <f>AND(#REF!,"AAAAAFxt33A=")</f>
        <v>#REF!</v>
      </c>
      <c r="DJ62" t="e">
        <f>AND(#REF!,"AAAAAFxt33E=")</f>
        <v>#REF!</v>
      </c>
      <c r="DK62" t="e">
        <f>AND(#REF!,"AAAAAFxt33I=")</f>
        <v>#REF!</v>
      </c>
      <c r="DL62" t="e">
        <f>AND(#REF!,"AAAAAFxt33M=")</f>
        <v>#REF!</v>
      </c>
      <c r="DM62" t="e">
        <f>AND(#REF!,"AAAAAFxt33Q=")</f>
        <v>#REF!</v>
      </c>
      <c r="DN62" t="e">
        <f>AND(#REF!,"AAAAAFxt33U=")</f>
        <v>#REF!</v>
      </c>
      <c r="DO62" t="e">
        <f>AND(#REF!,"AAAAAFxt33Y=")</f>
        <v>#REF!</v>
      </c>
      <c r="DP62" t="e">
        <f>AND(#REF!,"AAAAAFxt33c=")</f>
        <v>#REF!</v>
      </c>
      <c r="DQ62" t="e">
        <f>AND(#REF!,"AAAAAFxt33g=")</f>
        <v>#REF!</v>
      </c>
      <c r="DR62" t="e">
        <f>AND(#REF!,"AAAAAFxt33k=")</f>
        <v>#REF!</v>
      </c>
      <c r="DS62" t="e">
        <f>AND(#REF!,"AAAAAFxt33o=")</f>
        <v>#REF!</v>
      </c>
      <c r="DT62" t="e">
        <f>AND(#REF!,"AAAAAFxt33s=")</f>
        <v>#REF!</v>
      </c>
      <c r="DU62" t="e">
        <f>AND(#REF!,"AAAAAFxt33w=")</f>
        <v>#REF!</v>
      </c>
      <c r="DV62" t="e">
        <f>AND(#REF!,"AAAAAFxt330=")</f>
        <v>#REF!</v>
      </c>
      <c r="DW62" t="e">
        <f>AND(#REF!,"AAAAAFxt334=")</f>
        <v>#REF!</v>
      </c>
      <c r="DX62" t="e">
        <f>AND(#REF!,"AAAAAFxt338=")</f>
        <v>#REF!</v>
      </c>
      <c r="DY62" t="e">
        <f>AND(#REF!,"AAAAAFxt34A=")</f>
        <v>#REF!</v>
      </c>
      <c r="DZ62" t="e">
        <f>AND(#REF!,"AAAAAFxt34E=")</f>
        <v>#REF!</v>
      </c>
      <c r="EA62" t="e">
        <f>AND(#REF!,"AAAAAFxt34I=")</f>
        <v>#REF!</v>
      </c>
      <c r="EB62" t="e">
        <f>AND(#REF!,"AAAAAFxt34M=")</f>
        <v>#REF!</v>
      </c>
      <c r="EC62" t="e">
        <f>AND(#REF!,"AAAAAFxt34Q=")</f>
        <v>#REF!</v>
      </c>
      <c r="ED62" t="e">
        <f>AND(#REF!,"AAAAAFxt34U=")</f>
        <v>#REF!</v>
      </c>
      <c r="EE62" t="e">
        <f>IF(#REF!,"AAAAAFxt34Y=",0)</f>
        <v>#REF!</v>
      </c>
      <c r="EF62" t="e">
        <f>AND(#REF!,"AAAAAFxt34c=")</f>
        <v>#REF!</v>
      </c>
      <c r="EG62" t="e">
        <f>AND(#REF!,"AAAAAFxt34g=")</f>
        <v>#REF!</v>
      </c>
      <c r="EH62" t="e">
        <f>AND(#REF!,"AAAAAFxt34k=")</f>
        <v>#REF!</v>
      </c>
      <c r="EI62" t="e">
        <f>AND(#REF!,"AAAAAFxt34o=")</f>
        <v>#REF!</v>
      </c>
      <c r="EJ62" t="e">
        <f>AND(#REF!,"AAAAAFxt34s=")</f>
        <v>#REF!</v>
      </c>
      <c r="EK62" t="e">
        <f>AND(#REF!,"AAAAAFxt34w=")</f>
        <v>#REF!</v>
      </c>
      <c r="EL62" t="e">
        <f>AND(#REF!,"AAAAAFxt340=")</f>
        <v>#REF!</v>
      </c>
      <c r="EM62" t="e">
        <f>AND(#REF!,"AAAAAFxt344=")</f>
        <v>#REF!</v>
      </c>
      <c r="EN62" t="e">
        <f>AND(#REF!,"AAAAAFxt348=")</f>
        <v>#REF!</v>
      </c>
      <c r="EO62" t="e">
        <f>AND(#REF!,"AAAAAFxt35A=")</f>
        <v>#REF!</v>
      </c>
      <c r="EP62" t="e">
        <f>AND(#REF!,"AAAAAFxt35E=")</f>
        <v>#REF!</v>
      </c>
      <c r="EQ62" t="e">
        <f>AND(#REF!,"AAAAAFxt35I=")</f>
        <v>#REF!</v>
      </c>
      <c r="ER62" t="e">
        <f>AND(#REF!,"AAAAAFxt35M=")</f>
        <v>#REF!</v>
      </c>
      <c r="ES62" t="e">
        <f>AND(#REF!,"AAAAAFxt35Q=")</f>
        <v>#REF!</v>
      </c>
      <c r="ET62" t="e">
        <f>AND(#REF!,"AAAAAFxt35U=")</f>
        <v>#REF!</v>
      </c>
      <c r="EU62" t="e">
        <f>AND(#REF!,"AAAAAFxt35Y=")</f>
        <v>#REF!</v>
      </c>
      <c r="EV62" t="e">
        <f>AND(#REF!,"AAAAAFxt35c=")</f>
        <v>#REF!</v>
      </c>
      <c r="EW62" t="e">
        <f>AND(#REF!,"AAAAAFxt35g=")</f>
        <v>#REF!</v>
      </c>
      <c r="EX62" t="e">
        <f>AND(#REF!,"AAAAAFxt35k=")</f>
        <v>#REF!</v>
      </c>
      <c r="EY62" t="e">
        <f>AND(#REF!,"AAAAAFxt35o=")</f>
        <v>#REF!</v>
      </c>
      <c r="EZ62" t="e">
        <f>AND(#REF!,"AAAAAFxt35s=")</f>
        <v>#REF!</v>
      </c>
      <c r="FA62" t="e">
        <f>AND(#REF!,"AAAAAFxt35w=")</f>
        <v>#REF!</v>
      </c>
      <c r="FB62" t="e">
        <f>AND(#REF!,"AAAAAFxt350=")</f>
        <v>#REF!</v>
      </c>
      <c r="FC62" t="e">
        <f>AND(#REF!,"AAAAAFxt354=")</f>
        <v>#REF!</v>
      </c>
      <c r="FD62" t="e">
        <f>AND(#REF!,"AAAAAFxt358=")</f>
        <v>#REF!</v>
      </c>
      <c r="FE62" t="e">
        <f>AND(#REF!,"AAAAAFxt36A=")</f>
        <v>#REF!</v>
      </c>
      <c r="FF62" t="e">
        <f>AND(#REF!,"AAAAAFxt36E=")</f>
        <v>#REF!</v>
      </c>
      <c r="FG62" t="e">
        <f>AND(#REF!,"AAAAAFxt36I=")</f>
        <v>#REF!</v>
      </c>
      <c r="FH62" t="e">
        <f>AND(#REF!,"AAAAAFxt36M=")</f>
        <v>#REF!</v>
      </c>
      <c r="FI62" t="e">
        <f>AND(#REF!,"AAAAAFxt36Q=")</f>
        <v>#REF!</v>
      </c>
      <c r="FJ62" t="e">
        <f>AND(#REF!,"AAAAAFxt36U=")</f>
        <v>#REF!</v>
      </c>
      <c r="FK62" t="e">
        <f>AND(#REF!,"AAAAAFxt36Y=")</f>
        <v>#REF!</v>
      </c>
      <c r="FL62" t="e">
        <f>AND(#REF!,"AAAAAFxt36c=")</f>
        <v>#REF!</v>
      </c>
      <c r="FM62" t="e">
        <f>AND(#REF!,"AAAAAFxt36g=")</f>
        <v>#REF!</v>
      </c>
      <c r="FN62" t="e">
        <f>AND(#REF!,"AAAAAFxt36k=")</f>
        <v>#REF!</v>
      </c>
      <c r="FO62" t="e">
        <f>AND(#REF!,"AAAAAFxt36o=")</f>
        <v>#REF!</v>
      </c>
      <c r="FP62" t="e">
        <f>AND(#REF!,"AAAAAFxt36s=")</f>
        <v>#REF!</v>
      </c>
      <c r="FQ62" t="e">
        <f>AND(#REF!,"AAAAAFxt36w=")</f>
        <v>#REF!</v>
      </c>
      <c r="FR62" t="e">
        <f>AND(#REF!,"AAAAAFxt360=")</f>
        <v>#REF!</v>
      </c>
      <c r="FS62" t="e">
        <f>AND(#REF!,"AAAAAFxt364=")</f>
        <v>#REF!</v>
      </c>
      <c r="FT62" t="e">
        <f>AND(#REF!,"AAAAAFxt368=")</f>
        <v>#REF!</v>
      </c>
      <c r="FU62" t="e">
        <f>AND(#REF!,"AAAAAFxt37A=")</f>
        <v>#REF!</v>
      </c>
      <c r="FV62" t="e">
        <f>AND(#REF!,"AAAAAFxt37E=")</f>
        <v>#REF!</v>
      </c>
      <c r="FW62" t="e">
        <f>AND(#REF!,"AAAAAFxt37I=")</f>
        <v>#REF!</v>
      </c>
      <c r="FX62" t="e">
        <f>AND(#REF!,"AAAAAFxt37M=")</f>
        <v>#REF!</v>
      </c>
      <c r="FY62" t="e">
        <f>AND(#REF!,"AAAAAFxt37Q=")</f>
        <v>#REF!</v>
      </c>
      <c r="FZ62" t="e">
        <f>AND(#REF!,"AAAAAFxt37U=")</f>
        <v>#REF!</v>
      </c>
      <c r="GA62" t="e">
        <f>AND(#REF!,"AAAAAFxt37Y=")</f>
        <v>#REF!</v>
      </c>
      <c r="GB62" t="e">
        <f>AND(#REF!,"AAAAAFxt37c=")</f>
        <v>#REF!</v>
      </c>
      <c r="GC62" t="e">
        <f>AND(#REF!,"AAAAAFxt37g=")</f>
        <v>#REF!</v>
      </c>
      <c r="GD62" t="e">
        <f>AND(#REF!,"AAAAAFxt37k=")</f>
        <v>#REF!</v>
      </c>
      <c r="GE62" t="e">
        <f>AND(#REF!,"AAAAAFxt37o=")</f>
        <v>#REF!</v>
      </c>
      <c r="GF62" t="e">
        <f>AND(#REF!,"AAAAAFxt37s=")</f>
        <v>#REF!</v>
      </c>
      <c r="GG62" t="e">
        <f>AND(#REF!,"AAAAAFxt37w=")</f>
        <v>#REF!</v>
      </c>
      <c r="GH62" t="e">
        <f>AND(#REF!,"AAAAAFxt370=")</f>
        <v>#REF!</v>
      </c>
      <c r="GI62" t="e">
        <f>AND(#REF!,"AAAAAFxt374=")</f>
        <v>#REF!</v>
      </c>
      <c r="GJ62" t="e">
        <f>AND(#REF!,"AAAAAFxt378=")</f>
        <v>#REF!</v>
      </c>
      <c r="GK62" t="e">
        <f>AND(#REF!,"AAAAAFxt38A=")</f>
        <v>#REF!</v>
      </c>
      <c r="GL62" t="e">
        <f>AND(#REF!,"AAAAAFxt38E=")</f>
        <v>#REF!</v>
      </c>
      <c r="GM62" t="e">
        <f>AND(#REF!,"AAAAAFxt38I=")</f>
        <v>#REF!</v>
      </c>
      <c r="GN62" t="e">
        <f>AND(#REF!,"AAAAAFxt38M=")</f>
        <v>#REF!</v>
      </c>
      <c r="GO62" t="e">
        <f>AND(#REF!,"AAAAAFxt38Q=")</f>
        <v>#REF!</v>
      </c>
      <c r="GP62" t="e">
        <f>AND(#REF!,"AAAAAFxt38U=")</f>
        <v>#REF!</v>
      </c>
      <c r="GQ62" t="e">
        <f>AND(#REF!,"AAAAAFxt38Y=")</f>
        <v>#REF!</v>
      </c>
      <c r="GR62" t="e">
        <f>AND(#REF!,"AAAAAFxt38c=")</f>
        <v>#REF!</v>
      </c>
      <c r="GS62" t="e">
        <f>AND(#REF!,"AAAAAFxt38g=")</f>
        <v>#REF!</v>
      </c>
      <c r="GT62" t="e">
        <f>AND(#REF!,"AAAAAFxt38k=")</f>
        <v>#REF!</v>
      </c>
      <c r="GU62" t="e">
        <f>AND(#REF!,"AAAAAFxt38o=")</f>
        <v>#REF!</v>
      </c>
      <c r="GV62" t="e">
        <f>AND(#REF!,"AAAAAFxt38s=")</f>
        <v>#REF!</v>
      </c>
      <c r="GW62" t="e">
        <f>AND(#REF!,"AAAAAFxt38w=")</f>
        <v>#REF!</v>
      </c>
      <c r="GX62" t="e">
        <f>AND(#REF!,"AAAAAFxt380=")</f>
        <v>#REF!</v>
      </c>
      <c r="GY62" t="e">
        <f>AND(#REF!,"AAAAAFxt384=")</f>
        <v>#REF!</v>
      </c>
      <c r="GZ62" t="e">
        <f>AND(#REF!,"AAAAAFxt388=")</f>
        <v>#REF!</v>
      </c>
      <c r="HA62" t="e">
        <f>AND(#REF!,"AAAAAFxt39A=")</f>
        <v>#REF!</v>
      </c>
      <c r="HB62" t="e">
        <f>IF(#REF!,"AAAAAFxt39E=",0)</f>
        <v>#REF!</v>
      </c>
      <c r="HC62" t="e">
        <f>AND(#REF!,"AAAAAFxt39I=")</f>
        <v>#REF!</v>
      </c>
      <c r="HD62" t="e">
        <f>AND(#REF!,"AAAAAFxt39M=")</f>
        <v>#REF!</v>
      </c>
      <c r="HE62" t="e">
        <f>AND(#REF!,"AAAAAFxt39Q=")</f>
        <v>#REF!</v>
      </c>
      <c r="HF62" t="e">
        <f>AND(#REF!,"AAAAAFxt39U=")</f>
        <v>#REF!</v>
      </c>
      <c r="HG62" t="e">
        <f>AND(#REF!,"AAAAAFxt39Y=")</f>
        <v>#REF!</v>
      </c>
      <c r="HH62" t="e">
        <f>AND(#REF!,"AAAAAFxt39c=")</f>
        <v>#REF!</v>
      </c>
      <c r="HI62" t="e">
        <f>AND(#REF!,"AAAAAFxt39g=")</f>
        <v>#REF!</v>
      </c>
      <c r="HJ62" t="e">
        <f>AND(#REF!,"AAAAAFxt39k=")</f>
        <v>#REF!</v>
      </c>
      <c r="HK62" t="e">
        <f>AND(#REF!,"AAAAAFxt39o=")</f>
        <v>#REF!</v>
      </c>
      <c r="HL62" t="e">
        <f>AND(#REF!,"AAAAAFxt39s=")</f>
        <v>#REF!</v>
      </c>
      <c r="HM62" t="e">
        <f>AND(#REF!,"AAAAAFxt39w=")</f>
        <v>#REF!</v>
      </c>
      <c r="HN62" t="e">
        <f>AND(#REF!,"AAAAAFxt390=")</f>
        <v>#REF!</v>
      </c>
      <c r="HO62" t="e">
        <f>AND(#REF!,"AAAAAFxt394=")</f>
        <v>#REF!</v>
      </c>
      <c r="HP62" t="e">
        <f>AND(#REF!,"AAAAAFxt398=")</f>
        <v>#REF!</v>
      </c>
      <c r="HQ62" t="e">
        <f>AND(#REF!,"AAAAAFxt3+A=")</f>
        <v>#REF!</v>
      </c>
      <c r="HR62" t="e">
        <f>AND(#REF!,"AAAAAFxt3+E=")</f>
        <v>#REF!</v>
      </c>
      <c r="HS62" t="e">
        <f>AND(#REF!,"AAAAAFxt3+I=")</f>
        <v>#REF!</v>
      </c>
      <c r="HT62" t="e">
        <f>AND(#REF!,"AAAAAFxt3+M=")</f>
        <v>#REF!</v>
      </c>
      <c r="HU62" t="e">
        <f>AND(#REF!,"AAAAAFxt3+Q=")</f>
        <v>#REF!</v>
      </c>
      <c r="HV62" t="e">
        <f>AND(#REF!,"AAAAAFxt3+U=")</f>
        <v>#REF!</v>
      </c>
      <c r="HW62" t="e">
        <f>AND(#REF!,"AAAAAFxt3+Y=")</f>
        <v>#REF!</v>
      </c>
      <c r="HX62" t="e">
        <f>AND(#REF!,"AAAAAFxt3+c=")</f>
        <v>#REF!</v>
      </c>
      <c r="HY62" t="e">
        <f>AND(#REF!,"AAAAAFxt3+g=")</f>
        <v>#REF!</v>
      </c>
      <c r="HZ62" t="e">
        <f>AND(#REF!,"AAAAAFxt3+k=")</f>
        <v>#REF!</v>
      </c>
      <c r="IA62" t="e">
        <f>AND(#REF!,"AAAAAFxt3+o=")</f>
        <v>#REF!</v>
      </c>
      <c r="IB62" t="e">
        <f>AND(#REF!,"AAAAAFxt3+s=")</f>
        <v>#REF!</v>
      </c>
      <c r="IC62" t="e">
        <f>AND(#REF!,"AAAAAFxt3+w=")</f>
        <v>#REF!</v>
      </c>
      <c r="ID62" t="e">
        <f>AND(#REF!,"AAAAAFxt3+0=")</f>
        <v>#REF!</v>
      </c>
      <c r="IE62" t="e">
        <f>AND(#REF!,"AAAAAFxt3+4=")</f>
        <v>#REF!</v>
      </c>
      <c r="IF62" t="e">
        <f>AND(#REF!,"AAAAAFxt3+8=")</f>
        <v>#REF!</v>
      </c>
      <c r="IG62" t="e">
        <f>AND(#REF!,"AAAAAFxt3/A=")</f>
        <v>#REF!</v>
      </c>
      <c r="IH62" t="e">
        <f>AND(#REF!,"AAAAAFxt3/E=")</f>
        <v>#REF!</v>
      </c>
      <c r="II62" t="e">
        <f>AND(#REF!,"AAAAAFxt3/I=")</f>
        <v>#REF!</v>
      </c>
      <c r="IJ62" t="e">
        <f>AND(#REF!,"AAAAAFxt3/M=")</f>
        <v>#REF!</v>
      </c>
      <c r="IK62" t="e">
        <f>AND(#REF!,"AAAAAFxt3/Q=")</f>
        <v>#REF!</v>
      </c>
      <c r="IL62" t="e">
        <f>AND(#REF!,"AAAAAFxt3/U=")</f>
        <v>#REF!</v>
      </c>
      <c r="IM62" t="e">
        <f>AND(#REF!,"AAAAAFxt3/Y=")</f>
        <v>#REF!</v>
      </c>
      <c r="IN62" t="e">
        <f>AND(#REF!,"AAAAAFxt3/c=")</f>
        <v>#REF!</v>
      </c>
      <c r="IO62" t="e">
        <f>AND(#REF!,"AAAAAFxt3/g=")</f>
        <v>#REF!</v>
      </c>
      <c r="IP62" t="e">
        <f>AND(#REF!,"AAAAAFxt3/k=")</f>
        <v>#REF!</v>
      </c>
      <c r="IQ62" t="e">
        <f>AND(#REF!,"AAAAAFxt3/o=")</f>
        <v>#REF!</v>
      </c>
      <c r="IR62" t="e">
        <f>AND(#REF!,"AAAAAFxt3/s=")</f>
        <v>#REF!</v>
      </c>
      <c r="IS62" t="e">
        <f>AND(#REF!,"AAAAAFxt3/w=")</f>
        <v>#REF!</v>
      </c>
      <c r="IT62" t="e">
        <f>AND(#REF!,"AAAAAFxt3/0=")</f>
        <v>#REF!</v>
      </c>
      <c r="IU62" t="e">
        <f>AND(#REF!,"AAAAAFxt3/4=")</f>
        <v>#REF!</v>
      </c>
      <c r="IV62" t="e">
        <f>AND(#REF!,"AAAAAFxt3/8=")</f>
        <v>#REF!</v>
      </c>
    </row>
    <row r="63" spans="1:256" x14ac:dyDescent="0.2">
      <c r="A63" t="e">
        <f>AND(#REF!,"AAAAAH///wA=")</f>
        <v>#REF!</v>
      </c>
      <c r="B63" t="e">
        <f>AND(#REF!,"AAAAAH///wE=")</f>
        <v>#REF!</v>
      </c>
      <c r="C63" t="e">
        <f>AND(#REF!,"AAAAAH///wI=")</f>
        <v>#REF!</v>
      </c>
      <c r="D63" t="e">
        <f>AND(#REF!,"AAAAAH///wM=")</f>
        <v>#REF!</v>
      </c>
      <c r="E63" t="e">
        <f>AND(#REF!,"AAAAAH///wQ=")</f>
        <v>#REF!</v>
      </c>
      <c r="F63" t="e">
        <f>AND(#REF!,"AAAAAH///wU=")</f>
        <v>#REF!</v>
      </c>
      <c r="G63" t="e">
        <f>AND(#REF!,"AAAAAH///wY=")</f>
        <v>#REF!</v>
      </c>
      <c r="H63" t="e">
        <f>AND(#REF!,"AAAAAH///wc=")</f>
        <v>#REF!</v>
      </c>
      <c r="I63" t="e">
        <f>AND(#REF!,"AAAAAH///wg=")</f>
        <v>#REF!</v>
      </c>
      <c r="J63" t="e">
        <f>AND(#REF!,"AAAAAH///wk=")</f>
        <v>#REF!</v>
      </c>
      <c r="K63" t="e">
        <f>AND(#REF!,"AAAAAH///wo=")</f>
        <v>#REF!</v>
      </c>
      <c r="L63" t="e">
        <f>AND(#REF!,"AAAAAH///ws=")</f>
        <v>#REF!</v>
      </c>
      <c r="M63" t="e">
        <f>AND(#REF!,"AAAAAH///ww=")</f>
        <v>#REF!</v>
      </c>
      <c r="N63" t="e">
        <f>AND(#REF!,"AAAAAH///w0=")</f>
        <v>#REF!</v>
      </c>
      <c r="O63" t="e">
        <f>AND(#REF!,"AAAAAH///w4=")</f>
        <v>#REF!</v>
      </c>
      <c r="P63" t="e">
        <f>AND(#REF!,"AAAAAH///w8=")</f>
        <v>#REF!</v>
      </c>
      <c r="Q63" t="e">
        <f>AND(#REF!,"AAAAAH///xA=")</f>
        <v>#REF!</v>
      </c>
      <c r="R63" t="e">
        <f>AND(#REF!,"AAAAAH///xE=")</f>
        <v>#REF!</v>
      </c>
      <c r="S63" t="e">
        <f>AND(#REF!,"AAAAAH///xI=")</f>
        <v>#REF!</v>
      </c>
      <c r="T63" t="e">
        <f>AND(#REF!,"AAAAAH///xM=")</f>
        <v>#REF!</v>
      </c>
      <c r="U63" t="e">
        <f>AND(#REF!,"AAAAAH///xQ=")</f>
        <v>#REF!</v>
      </c>
      <c r="V63" t="e">
        <f>AND(#REF!,"AAAAAH///xU=")</f>
        <v>#REF!</v>
      </c>
      <c r="W63" t="e">
        <f>AND(#REF!,"AAAAAH///xY=")</f>
        <v>#REF!</v>
      </c>
      <c r="X63" t="e">
        <f>AND(#REF!,"AAAAAH///xc=")</f>
        <v>#REF!</v>
      </c>
      <c r="Y63" t="e">
        <f>AND(#REF!,"AAAAAH///xg=")</f>
        <v>#REF!</v>
      </c>
      <c r="Z63" t="e">
        <f>AND(#REF!,"AAAAAH///xk=")</f>
        <v>#REF!</v>
      </c>
      <c r="AA63" t="e">
        <f>AND(#REF!,"AAAAAH///xo=")</f>
        <v>#REF!</v>
      </c>
      <c r="AB63" t="e">
        <f>AND(#REF!,"AAAAAH///xs=")</f>
        <v>#REF!</v>
      </c>
      <c r="AC63" t="e">
        <f>IF(#REF!,"AAAAAH///xw=",0)</f>
        <v>#REF!</v>
      </c>
      <c r="AD63" t="e">
        <f>AND(#REF!,"AAAAAH///x0=")</f>
        <v>#REF!</v>
      </c>
      <c r="AE63" t="e">
        <f>AND(#REF!,"AAAAAH///x4=")</f>
        <v>#REF!</v>
      </c>
      <c r="AF63" t="e">
        <f>AND(#REF!,"AAAAAH///x8=")</f>
        <v>#REF!</v>
      </c>
      <c r="AG63" t="e">
        <f>AND(#REF!,"AAAAAH///yA=")</f>
        <v>#REF!</v>
      </c>
      <c r="AH63" t="e">
        <f>AND(#REF!,"AAAAAH///yE=")</f>
        <v>#REF!</v>
      </c>
      <c r="AI63" t="e">
        <f>AND(#REF!,"AAAAAH///yI=")</f>
        <v>#REF!</v>
      </c>
      <c r="AJ63" t="e">
        <f>AND(#REF!,"AAAAAH///yM=")</f>
        <v>#REF!</v>
      </c>
      <c r="AK63" t="e">
        <f>AND(#REF!,"AAAAAH///yQ=")</f>
        <v>#REF!</v>
      </c>
      <c r="AL63" t="e">
        <f>AND(#REF!,"AAAAAH///yU=")</f>
        <v>#REF!</v>
      </c>
      <c r="AM63" t="e">
        <f>AND(#REF!,"AAAAAH///yY=")</f>
        <v>#REF!</v>
      </c>
      <c r="AN63" t="e">
        <f>AND(#REF!,"AAAAAH///yc=")</f>
        <v>#REF!</v>
      </c>
      <c r="AO63" t="e">
        <f>AND(#REF!,"AAAAAH///yg=")</f>
        <v>#REF!</v>
      </c>
      <c r="AP63" t="e">
        <f>AND(#REF!,"AAAAAH///yk=")</f>
        <v>#REF!</v>
      </c>
      <c r="AQ63" t="e">
        <f>AND(#REF!,"AAAAAH///yo=")</f>
        <v>#REF!</v>
      </c>
      <c r="AR63" t="e">
        <f>AND(#REF!,"AAAAAH///ys=")</f>
        <v>#REF!</v>
      </c>
      <c r="AS63" t="e">
        <f>AND(#REF!,"AAAAAH///yw=")</f>
        <v>#REF!</v>
      </c>
      <c r="AT63" t="e">
        <f>AND(#REF!,"AAAAAH///y0=")</f>
        <v>#REF!</v>
      </c>
      <c r="AU63" t="e">
        <f>AND(#REF!,"AAAAAH///y4=")</f>
        <v>#REF!</v>
      </c>
      <c r="AV63" t="e">
        <f>AND(#REF!,"AAAAAH///y8=")</f>
        <v>#REF!</v>
      </c>
      <c r="AW63" t="e">
        <f>AND(#REF!,"AAAAAH///zA=")</f>
        <v>#REF!</v>
      </c>
      <c r="AX63" t="e">
        <f>AND(#REF!,"AAAAAH///zE=")</f>
        <v>#REF!</v>
      </c>
      <c r="AY63" t="e">
        <f>AND(#REF!,"AAAAAH///zI=")</f>
        <v>#REF!</v>
      </c>
      <c r="AZ63" t="e">
        <f>AND(#REF!,"AAAAAH///zM=")</f>
        <v>#REF!</v>
      </c>
      <c r="BA63" t="e">
        <f>AND(#REF!,"AAAAAH///zQ=")</f>
        <v>#REF!</v>
      </c>
      <c r="BB63" t="e">
        <f>AND(#REF!,"AAAAAH///zU=")</f>
        <v>#REF!</v>
      </c>
      <c r="BC63" t="e">
        <f>AND(#REF!,"AAAAAH///zY=")</f>
        <v>#REF!</v>
      </c>
      <c r="BD63" t="e">
        <f>AND(#REF!,"AAAAAH///zc=")</f>
        <v>#REF!</v>
      </c>
      <c r="BE63" t="e">
        <f>AND(#REF!,"AAAAAH///zg=")</f>
        <v>#REF!</v>
      </c>
      <c r="BF63" t="e">
        <f>AND(#REF!,"AAAAAH///zk=")</f>
        <v>#REF!</v>
      </c>
      <c r="BG63" t="e">
        <f>AND(#REF!,"AAAAAH///zo=")</f>
        <v>#REF!</v>
      </c>
      <c r="BH63" t="e">
        <f>AND(#REF!,"AAAAAH///zs=")</f>
        <v>#REF!</v>
      </c>
      <c r="BI63" t="e">
        <f>AND(#REF!,"AAAAAH///zw=")</f>
        <v>#REF!</v>
      </c>
      <c r="BJ63" t="e">
        <f>AND(#REF!,"AAAAAH///z0=")</f>
        <v>#REF!</v>
      </c>
      <c r="BK63" t="e">
        <f>AND(#REF!,"AAAAAH///z4=")</f>
        <v>#REF!</v>
      </c>
      <c r="BL63" t="e">
        <f>AND(#REF!,"AAAAAH///z8=")</f>
        <v>#REF!</v>
      </c>
      <c r="BM63" t="e">
        <f>AND(#REF!,"AAAAAH///0A=")</f>
        <v>#REF!</v>
      </c>
      <c r="BN63" t="e">
        <f>AND(#REF!,"AAAAAH///0E=")</f>
        <v>#REF!</v>
      </c>
      <c r="BO63" t="e">
        <f>AND(#REF!,"AAAAAH///0I=")</f>
        <v>#REF!</v>
      </c>
      <c r="BP63" t="e">
        <f>AND(#REF!,"AAAAAH///0M=")</f>
        <v>#REF!</v>
      </c>
      <c r="BQ63" t="e">
        <f>AND(#REF!,"AAAAAH///0Q=")</f>
        <v>#REF!</v>
      </c>
      <c r="BR63" t="e">
        <f>AND(#REF!,"AAAAAH///0U=")</f>
        <v>#REF!</v>
      </c>
      <c r="BS63" t="e">
        <f>AND(#REF!,"AAAAAH///0Y=")</f>
        <v>#REF!</v>
      </c>
      <c r="BT63" t="e">
        <f>AND(#REF!,"AAAAAH///0c=")</f>
        <v>#REF!</v>
      </c>
      <c r="BU63" t="e">
        <f>AND(#REF!,"AAAAAH///0g=")</f>
        <v>#REF!</v>
      </c>
      <c r="BV63" t="e">
        <f>AND(#REF!,"AAAAAH///0k=")</f>
        <v>#REF!</v>
      </c>
      <c r="BW63" t="e">
        <f>AND(#REF!,"AAAAAH///0o=")</f>
        <v>#REF!</v>
      </c>
      <c r="BX63" t="e">
        <f>AND(#REF!,"AAAAAH///0s=")</f>
        <v>#REF!</v>
      </c>
      <c r="BY63" t="e">
        <f>AND(#REF!,"AAAAAH///0w=")</f>
        <v>#REF!</v>
      </c>
      <c r="BZ63" t="e">
        <f>AND(#REF!,"AAAAAH///00=")</f>
        <v>#REF!</v>
      </c>
      <c r="CA63" t="e">
        <f>AND(#REF!,"AAAAAH///04=")</f>
        <v>#REF!</v>
      </c>
      <c r="CB63" t="e">
        <f>AND(#REF!,"AAAAAH///08=")</f>
        <v>#REF!</v>
      </c>
      <c r="CC63" t="e">
        <f>AND(#REF!,"AAAAAH///1A=")</f>
        <v>#REF!</v>
      </c>
      <c r="CD63" t="e">
        <f>AND(#REF!,"AAAAAH///1E=")</f>
        <v>#REF!</v>
      </c>
      <c r="CE63" t="e">
        <f>AND(#REF!,"AAAAAH///1I=")</f>
        <v>#REF!</v>
      </c>
      <c r="CF63" t="e">
        <f>AND(#REF!,"AAAAAH///1M=")</f>
        <v>#REF!</v>
      </c>
      <c r="CG63" t="e">
        <f>AND(#REF!,"AAAAAH///1Q=")</f>
        <v>#REF!</v>
      </c>
      <c r="CH63" t="e">
        <f>AND(#REF!,"AAAAAH///1U=")</f>
        <v>#REF!</v>
      </c>
      <c r="CI63" t="e">
        <f>AND(#REF!,"AAAAAH///1Y=")</f>
        <v>#REF!</v>
      </c>
      <c r="CJ63" t="e">
        <f>AND(#REF!,"AAAAAH///1c=")</f>
        <v>#REF!</v>
      </c>
      <c r="CK63" t="e">
        <f>AND(#REF!,"AAAAAH///1g=")</f>
        <v>#REF!</v>
      </c>
      <c r="CL63" t="e">
        <f>AND(#REF!,"AAAAAH///1k=")</f>
        <v>#REF!</v>
      </c>
      <c r="CM63" t="e">
        <f>AND(#REF!,"AAAAAH///1o=")</f>
        <v>#REF!</v>
      </c>
      <c r="CN63" t="e">
        <f>AND(#REF!,"AAAAAH///1s=")</f>
        <v>#REF!</v>
      </c>
      <c r="CO63" t="e">
        <f>AND(#REF!,"AAAAAH///1w=")</f>
        <v>#REF!</v>
      </c>
      <c r="CP63" t="e">
        <f>AND(#REF!,"AAAAAH///10=")</f>
        <v>#REF!</v>
      </c>
      <c r="CQ63" t="e">
        <f>AND(#REF!,"AAAAAH///14=")</f>
        <v>#REF!</v>
      </c>
      <c r="CR63" t="e">
        <f>AND(#REF!,"AAAAAH///18=")</f>
        <v>#REF!</v>
      </c>
      <c r="CS63" t="e">
        <f>AND(#REF!,"AAAAAH///2A=")</f>
        <v>#REF!</v>
      </c>
      <c r="CT63" t="e">
        <f>AND(#REF!,"AAAAAH///2E=")</f>
        <v>#REF!</v>
      </c>
      <c r="CU63" t="e">
        <f>AND(#REF!,"AAAAAH///2I=")</f>
        <v>#REF!</v>
      </c>
      <c r="CV63" t="e">
        <f>AND(#REF!,"AAAAAH///2M=")</f>
        <v>#REF!</v>
      </c>
      <c r="CW63" t="e">
        <f>AND(#REF!,"AAAAAH///2Q=")</f>
        <v>#REF!</v>
      </c>
      <c r="CX63" t="e">
        <f>AND(#REF!,"AAAAAH///2U=")</f>
        <v>#REF!</v>
      </c>
      <c r="CY63" t="e">
        <f>AND(#REF!,"AAAAAH///2Y=")</f>
        <v>#REF!</v>
      </c>
      <c r="CZ63" t="e">
        <f>IF(#REF!,"AAAAAH///2c=",0)</f>
        <v>#REF!</v>
      </c>
      <c r="DA63" t="e">
        <f>AND(#REF!,"AAAAAH///2g=")</f>
        <v>#REF!</v>
      </c>
      <c r="DB63" t="e">
        <f>AND(#REF!,"AAAAAH///2k=")</f>
        <v>#REF!</v>
      </c>
      <c r="DC63" t="e">
        <f>AND(#REF!,"AAAAAH///2o=")</f>
        <v>#REF!</v>
      </c>
      <c r="DD63" t="e">
        <f>AND(#REF!,"AAAAAH///2s=")</f>
        <v>#REF!</v>
      </c>
      <c r="DE63" t="e">
        <f>AND(#REF!,"AAAAAH///2w=")</f>
        <v>#REF!</v>
      </c>
      <c r="DF63" t="e">
        <f>AND(#REF!,"AAAAAH///20=")</f>
        <v>#REF!</v>
      </c>
      <c r="DG63" t="e">
        <f>AND(#REF!,"AAAAAH///24=")</f>
        <v>#REF!</v>
      </c>
      <c r="DH63" t="e">
        <f>AND(#REF!,"AAAAAH///28=")</f>
        <v>#REF!</v>
      </c>
      <c r="DI63" t="e">
        <f>AND(#REF!,"AAAAAH///3A=")</f>
        <v>#REF!</v>
      </c>
      <c r="DJ63" t="e">
        <f>AND(#REF!,"AAAAAH///3E=")</f>
        <v>#REF!</v>
      </c>
      <c r="DK63" t="e">
        <f>AND(#REF!,"AAAAAH///3I=")</f>
        <v>#REF!</v>
      </c>
      <c r="DL63" t="e">
        <f>AND(#REF!,"AAAAAH///3M=")</f>
        <v>#REF!</v>
      </c>
      <c r="DM63" t="e">
        <f>AND(#REF!,"AAAAAH///3Q=")</f>
        <v>#REF!</v>
      </c>
      <c r="DN63" t="e">
        <f>AND(#REF!,"AAAAAH///3U=")</f>
        <v>#REF!</v>
      </c>
      <c r="DO63" t="e">
        <f>AND(#REF!,"AAAAAH///3Y=")</f>
        <v>#REF!</v>
      </c>
      <c r="DP63" t="e">
        <f>AND(#REF!,"AAAAAH///3c=")</f>
        <v>#REF!</v>
      </c>
      <c r="DQ63" t="e">
        <f>AND(#REF!,"AAAAAH///3g=")</f>
        <v>#REF!</v>
      </c>
      <c r="DR63" t="e">
        <f>AND(#REF!,"AAAAAH///3k=")</f>
        <v>#REF!</v>
      </c>
      <c r="DS63" t="e">
        <f>AND(#REF!,"AAAAAH///3o=")</f>
        <v>#REF!</v>
      </c>
      <c r="DT63" t="e">
        <f>AND(#REF!,"AAAAAH///3s=")</f>
        <v>#REF!</v>
      </c>
      <c r="DU63" t="e">
        <f>AND(#REF!,"AAAAAH///3w=")</f>
        <v>#REF!</v>
      </c>
      <c r="DV63" t="e">
        <f>AND(#REF!,"AAAAAH///30=")</f>
        <v>#REF!</v>
      </c>
      <c r="DW63" t="e">
        <f>AND(#REF!,"AAAAAH///34=")</f>
        <v>#REF!</v>
      </c>
      <c r="DX63" t="e">
        <f>AND(#REF!,"AAAAAH///38=")</f>
        <v>#REF!</v>
      </c>
      <c r="DY63" t="e">
        <f>AND(#REF!,"AAAAAH///4A=")</f>
        <v>#REF!</v>
      </c>
      <c r="DZ63" t="e">
        <f>AND(#REF!,"AAAAAH///4E=")</f>
        <v>#REF!</v>
      </c>
      <c r="EA63" t="e">
        <f>AND(#REF!,"AAAAAH///4I=")</f>
        <v>#REF!</v>
      </c>
      <c r="EB63" t="e">
        <f>AND(#REF!,"AAAAAH///4M=")</f>
        <v>#REF!</v>
      </c>
      <c r="EC63" t="e">
        <f>AND(#REF!,"AAAAAH///4Q=")</f>
        <v>#REF!</v>
      </c>
      <c r="ED63" t="e">
        <f>AND(#REF!,"AAAAAH///4U=")</f>
        <v>#REF!</v>
      </c>
      <c r="EE63" t="e">
        <f>AND(#REF!,"AAAAAH///4Y=")</f>
        <v>#REF!</v>
      </c>
      <c r="EF63" t="e">
        <f>AND(#REF!,"AAAAAH///4c=")</f>
        <v>#REF!</v>
      </c>
      <c r="EG63" t="e">
        <f>AND(#REF!,"AAAAAH///4g=")</f>
        <v>#REF!</v>
      </c>
      <c r="EH63" t="e">
        <f>AND(#REF!,"AAAAAH///4k=")</f>
        <v>#REF!</v>
      </c>
      <c r="EI63" t="e">
        <f>AND(#REF!,"AAAAAH///4o=")</f>
        <v>#REF!</v>
      </c>
      <c r="EJ63" t="e">
        <f>AND(#REF!,"AAAAAH///4s=")</f>
        <v>#REF!</v>
      </c>
      <c r="EK63" t="e">
        <f>AND(#REF!,"AAAAAH///4w=")</f>
        <v>#REF!</v>
      </c>
      <c r="EL63" t="e">
        <f>AND(#REF!,"AAAAAH///40=")</f>
        <v>#REF!</v>
      </c>
      <c r="EM63" t="e">
        <f>AND(#REF!,"AAAAAH///44=")</f>
        <v>#REF!</v>
      </c>
      <c r="EN63" t="e">
        <f>AND(#REF!,"AAAAAH///48=")</f>
        <v>#REF!</v>
      </c>
      <c r="EO63" t="e">
        <f>AND(#REF!,"AAAAAH///5A=")</f>
        <v>#REF!</v>
      </c>
      <c r="EP63" t="e">
        <f>AND(#REF!,"AAAAAH///5E=")</f>
        <v>#REF!</v>
      </c>
      <c r="EQ63" t="e">
        <f>AND(#REF!,"AAAAAH///5I=")</f>
        <v>#REF!</v>
      </c>
      <c r="ER63" t="e">
        <f>AND(#REF!,"AAAAAH///5M=")</f>
        <v>#REF!</v>
      </c>
      <c r="ES63" t="e">
        <f>AND(#REF!,"AAAAAH///5Q=")</f>
        <v>#REF!</v>
      </c>
      <c r="ET63" t="e">
        <f>AND(#REF!,"AAAAAH///5U=")</f>
        <v>#REF!</v>
      </c>
      <c r="EU63" t="e">
        <f>AND(#REF!,"AAAAAH///5Y=")</f>
        <v>#REF!</v>
      </c>
      <c r="EV63" t="e">
        <f>AND(#REF!,"AAAAAH///5c=")</f>
        <v>#REF!</v>
      </c>
      <c r="EW63" t="e">
        <f>AND(#REF!,"AAAAAH///5g=")</f>
        <v>#REF!</v>
      </c>
      <c r="EX63" t="e">
        <f>AND(#REF!,"AAAAAH///5k=")</f>
        <v>#REF!</v>
      </c>
      <c r="EY63" t="e">
        <f>AND(#REF!,"AAAAAH///5o=")</f>
        <v>#REF!</v>
      </c>
      <c r="EZ63" t="e">
        <f>AND(#REF!,"AAAAAH///5s=")</f>
        <v>#REF!</v>
      </c>
      <c r="FA63" t="e">
        <f>AND(#REF!,"AAAAAH///5w=")</f>
        <v>#REF!</v>
      </c>
      <c r="FB63" t="e">
        <f>AND(#REF!,"AAAAAH///50=")</f>
        <v>#REF!</v>
      </c>
      <c r="FC63" t="e">
        <f>AND(#REF!,"AAAAAH///54=")</f>
        <v>#REF!</v>
      </c>
      <c r="FD63" t="e">
        <f>AND(#REF!,"AAAAAH///58=")</f>
        <v>#REF!</v>
      </c>
      <c r="FE63" t="e">
        <f>AND(#REF!,"AAAAAH///6A=")</f>
        <v>#REF!</v>
      </c>
      <c r="FF63" t="e">
        <f>AND(#REF!,"AAAAAH///6E=")</f>
        <v>#REF!</v>
      </c>
      <c r="FG63" t="e">
        <f>AND(#REF!,"AAAAAH///6I=")</f>
        <v>#REF!</v>
      </c>
      <c r="FH63" t="e">
        <f>AND(#REF!,"AAAAAH///6M=")</f>
        <v>#REF!</v>
      </c>
      <c r="FI63" t="e">
        <f>AND(#REF!,"AAAAAH///6Q=")</f>
        <v>#REF!</v>
      </c>
      <c r="FJ63" t="e">
        <f>AND(#REF!,"AAAAAH///6U=")</f>
        <v>#REF!</v>
      </c>
      <c r="FK63" t="e">
        <f>AND(#REF!,"AAAAAH///6Y=")</f>
        <v>#REF!</v>
      </c>
      <c r="FL63" t="e">
        <f>AND(#REF!,"AAAAAH///6c=")</f>
        <v>#REF!</v>
      </c>
      <c r="FM63" t="e">
        <f>AND(#REF!,"AAAAAH///6g=")</f>
        <v>#REF!</v>
      </c>
      <c r="FN63" t="e">
        <f>AND(#REF!,"AAAAAH///6k=")</f>
        <v>#REF!</v>
      </c>
      <c r="FO63" t="e">
        <f>AND(#REF!,"AAAAAH///6o=")</f>
        <v>#REF!</v>
      </c>
      <c r="FP63" t="e">
        <f>AND(#REF!,"AAAAAH///6s=")</f>
        <v>#REF!</v>
      </c>
      <c r="FQ63" t="e">
        <f>AND(#REF!,"AAAAAH///6w=")</f>
        <v>#REF!</v>
      </c>
      <c r="FR63" t="e">
        <f>AND(#REF!,"AAAAAH///60=")</f>
        <v>#REF!</v>
      </c>
      <c r="FS63" t="e">
        <f>AND(#REF!,"AAAAAH///64=")</f>
        <v>#REF!</v>
      </c>
      <c r="FT63" t="e">
        <f>AND(#REF!,"AAAAAH///68=")</f>
        <v>#REF!</v>
      </c>
      <c r="FU63" t="e">
        <f>AND(#REF!,"AAAAAH///7A=")</f>
        <v>#REF!</v>
      </c>
      <c r="FV63" t="e">
        <f>AND(#REF!,"AAAAAH///7E=")</f>
        <v>#REF!</v>
      </c>
      <c r="FW63" t="e">
        <f>IF(#REF!,"AAAAAH///7I=",0)</f>
        <v>#REF!</v>
      </c>
      <c r="FX63" t="e">
        <f>AND(#REF!,"AAAAAH///7M=")</f>
        <v>#REF!</v>
      </c>
      <c r="FY63" t="e">
        <f>AND(#REF!,"AAAAAH///7Q=")</f>
        <v>#REF!</v>
      </c>
      <c r="FZ63" t="e">
        <f>AND(#REF!,"AAAAAH///7U=")</f>
        <v>#REF!</v>
      </c>
      <c r="GA63" t="e">
        <f>AND(#REF!,"AAAAAH///7Y=")</f>
        <v>#REF!</v>
      </c>
      <c r="GB63" t="e">
        <f>AND(#REF!,"AAAAAH///7c=")</f>
        <v>#REF!</v>
      </c>
      <c r="GC63" t="e">
        <f>AND(#REF!,"AAAAAH///7g=")</f>
        <v>#REF!</v>
      </c>
      <c r="GD63" t="e">
        <f>AND(#REF!,"AAAAAH///7k=")</f>
        <v>#REF!</v>
      </c>
      <c r="GE63" t="e">
        <f>AND(#REF!,"AAAAAH///7o=")</f>
        <v>#REF!</v>
      </c>
      <c r="GF63" t="e">
        <f>AND(#REF!,"AAAAAH///7s=")</f>
        <v>#REF!</v>
      </c>
      <c r="GG63" t="e">
        <f>AND(#REF!,"AAAAAH///7w=")</f>
        <v>#REF!</v>
      </c>
      <c r="GH63" t="e">
        <f>AND(#REF!,"AAAAAH///70=")</f>
        <v>#REF!</v>
      </c>
      <c r="GI63" t="e">
        <f>AND(#REF!,"AAAAAH///74=")</f>
        <v>#REF!</v>
      </c>
      <c r="GJ63" t="e">
        <f>AND(#REF!,"AAAAAH///78=")</f>
        <v>#REF!</v>
      </c>
      <c r="GK63" t="e">
        <f>AND(#REF!,"AAAAAH///8A=")</f>
        <v>#REF!</v>
      </c>
      <c r="GL63" t="e">
        <f>AND(#REF!,"AAAAAH///8E=")</f>
        <v>#REF!</v>
      </c>
      <c r="GM63" t="e">
        <f>AND(#REF!,"AAAAAH///8I=")</f>
        <v>#REF!</v>
      </c>
      <c r="GN63" t="e">
        <f>AND(#REF!,"AAAAAH///8M=")</f>
        <v>#REF!</v>
      </c>
      <c r="GO63" t="e">
        <f>AND(#REF!,"AAAAAH///8Q=")</f>
        <v>#REF!</v>
      </c>
      <c r="GP63" t="e">
        <f>AND(#REF!,"AAAAAH///8U=")</f>
        <v>#REF!</v>
      </c>
      <c r="GQ63" t="e">
        <f>AND(#REF!,"AAAAAH///8Y=")</f>
        <v>#REF!</v>
      </c>
      <c r="GR63" t="e">
        <f>AND(#REF!,"AAAAAH///8c=")</f>
        <v>#REF!</v>
      </c>
      <c r="GS63" t="e">
        <f>AND(#REF!,"AAAAAH///8g=")</f>
        <v>#REF!</v>
      </c>
      <c r="GT63" t="e">
        <f>AND(#REF!,"AAAAAH///8k=")</f>
        <v>#REF!</v>
      </c>
      <c r="GU63" t="e">
        <f>AND(#REF!,"AAAAAH///8o=")</f>
        <v>#REF!</v>
      </c>
      <c r="GV63" t="e">
        <f>AND(#REF!,"AAAAAH///8s=")</f>
        <v>#REF!</v>
      </c>
      <c r="GW63" t="e">
        <f>AND(#REF!,"AAAAAH///8w=")</f>
        <v>#REF!</v>
      </c>
      <c r="GX63" t="e">
        <f>AND(#REF!,"AAAAAH///80=")</f>
        <v>#REF!</v>
      </c>
      <c r="GY63" t="e">
        <f>AND(#REF!,"AAAAAH///84=")</f>
        <v>#REF!</v>
      </c>
      <c r="GZ63" t="e">
        <f>AND(#REF!,"AAAAAH///88=")</f>
        <v>#REF!</v>
      </c>
      <c r="HA63" t="e">
        <f>AND(#REF!,"AAAAAH///9A=")</f>
        <v>#REF!</v>
      </c>
      <c r="HB63" t="e">
        <f>AND(#REF!,"AAAAAH///9E=")</f>
        <v>#REF!</v>
      </c>
      <c r="HC63" t="e">
        <f>AND(#REF!,"AAAAAH///9I=")</f>
        <v>#REF!</v>
      </c>
      <c r="HD63" t="e">
        <f>AND(#REF!,"AAAAAH///9M=")</f>
        <v>#REF!</v>
      </c>
      <c r="HE63" t="e">
        <f>AND(#REF!,"AAAAAH///9Q=")</f>
        <v>#REF!</v>
      </c>
      <c r="HF63" t="e">
        <f>AND(#REF!,"AAAAAH///9U=")</f>
        <v>#REF!</v>
      </c>
      <c r="HG63" t="e">
        <f>AND(#REF!,"AAAAAH///9Y=")</f>
        <v>#REF!</v>
      </c>
      <c r="HH63" t="e">
        <f>AND(#REF!,"AAAAAH///9c=")</f>
        <v>#REF!</v>
      </c>
      <c r="HI63" t="e">
        <f>AND(#REF!,"AAAAAH///9g=")</f>
        <v>#REF!</v>
      </c>
      <c r="HJ63" t="e">
        <f>AND(#REF!,"AAAAAH///9k=")</f>
        <v>#REF!</v>
      </c>
      <c r="HK63" t="e">
        <f>AND(#REF!,"AAAAAH///9o=")</f>
        <v>#REF!</v>
      </c>
      <c r="HL63" t="e">
        <f>AND(#REF!,"AAAAAH///9s=")</f>
        <v>#REF!</v>
      </c>
      <c r="HM63" t="e">
        <f>AND(#REF!,"AAAAAH///9w=")</f>
        <v>#REF!</v>
      </c>
      <c r="HN63" t="e">
        <f>AND(#REF!,"AAAAAH///90=")</f>
        <v>#REF!</v>
      </c>
      <c r="HO63" t="e">
        <f>AND(#REF!,"AAAAAH///94=")</f>
        <v>#REF!</v>
      </c>
      <c r="HP63" t="e">
        <f>AND(#REF!,"AAAAAH///98=")</f>
        <v>#REF!</v>
      </c>
      <c r="HQ63" t="e">
        <f>AND(#REF!,"AAAAAH///+A=")</f>
        <v>#REF!</v>
      </c>
      <c r="HR63" t="e">
        <f>AND(#REF!,"AAAAAH///+E=")</f>
        <v>#REF!</v>
      </c>
      <c r="HS63" t="e">
        <f>AND(#REF!,"AAAAAH///+I=")</f>
        <v>#REF!</v>
      </c>
      <c r="HT63" t="e">
        <f>AND(#REF!,"AAAAAH///+M=")</f>
        <v>#REF!</v>
      </c>
      <c r="HU63" t="e">
        <f>AND(#REF!,"AAAAAH///+Q=")</f>
        <v>#REF!</v>
      </c>
      <c r="HV63" t="e">
        <f>AND(#REF!,"AAAAAH///+U=")</f>
        <v>#REF!</v>
      </c>
      <c r="HW63" t="e">
        <f>AND(#REF!,"AAAAAH///+Y=")</f>
        <v>#REF!</v>
      </c>
      <c r="HX63" t="e">
        <f>AND(#REF!,"AAAAAH///+c=")</f>
        <v>#REF!</v>
      </c>
      <c r="HY63" t="e">
        <f>AND(#REF!,"AAAAAH///+g=")</f>
        <v>#REF!</v>
      </c>
      <c r="HZ63" t="e">
        <f>AND(#REF!,"AAAAAH///+k=")</f>
        <v>#REF!</v>
      </c>
      <c r="IA63" t="e">
        <f>AND(#REF!,"AAAAAH///+o=")</f>
        <v>#REF!</v>
      </c>
      <c r="IB63" t="e">
        <f>AND(#REF!,"AAAAAH///+s=")</f>
        <v>#REF!</v>
      </c>
      <c r="IC63" t="e">
        <f>AND(#REF!,"AAAAAH///+w=")</f>
        <v>#REF!</v>
      </c>
      <c r="ID63" t="e">
        <f>AND(#REF!,"AAAAAH///+0=")</f>
        <v>#REF!</v>
      </c>
      <c r="IE63" t="e">
        <f>AND(#REF!,"AAAAAH///+4=")</f>
        <v>#REF!</v>
      </c>
      <c r="IF63" t="e">
        <f>AND(#REF!,"AAAAAH///+8=")</f>
        <v>#REF!</v>
      </c>
      <c r="IG63" t="e">
        <f>AND(#REF!,"AAAAAH////A=")</f>
        <v>#REF!</v>
      </c>
      <c r="IH63" t="e">
        <f>AND(#REF!,"AAAAAH////E=")</f>
        <v>#REF!</v>
      </c>
      <c r="II63" t="e">
        <f>AND(#REF!,"AAAAAH////I=")</f>
        <v>#REF!</v>
      </c>
      <c r="IJ63" t="e">
        <f>AND(#REF!,"AAAAAH////M=")</f>
        <v>#REF!</v>
      </c>
      <c r="IK63" t="e">
        <f>AND(#REF!,"AAAAAH////Q=")</f>
        <v>#REF!</v>
      </c>
      <c r="IL63" t="e">
        <f>AND(#REF!,"AAAAAH////U=")</f>
        <v>#REF!</v>
      </c>
      <c r="IM63" t="e">
        <f>AND(#REF!,"AAAAAH////Y=")</f>
        <v>#REF!</v>
      </c>
      <c r="IN63" t="e">
        <f>AND(#REF!,"AAAAAH////c=")</f>
        <v>#REF!</v>
      </c>
      <c r="IO63" t="e">
        <f>AND(#REF!,"AAAAAH////g=")</f>
        <v>#REF!</v>
      </c>
      <c r="IP63" t="e">
        <f>AND(#REF!,"AAAAAH////k=")</f>
        <v>#REF!</v>
      </c>
      <c r="IQ63" t="e">
        <f>AND(#REF!,"AAAAAH////o=")</f>
        <v>#REF!</v>
      </c>
      <c r="IR63" t="e">
        <f>AND(#REF!,"AAAAAH////s=")</f>
        <v>#REF!</v>
      </c>
      <c r="IS63" t="e">
        <f>AND(#REF!,"AAAAAH////w=")</f>
        <v>#REF!</v>
      </c>
      <c r="IT63" t="e">
        <f>IF(#REF!,"AAAAAH////0=",0)</f>
        <v>#REF!</v>
      </c>
      <c r="IU63" t="e">
        <f>AND(#REF!,"AAAAAH////4=")</f>
        <v>#REF!</v>
      </c>
      <c r="IV63" t="e">
        <f>AND(#REF!,"AAAAAH////8=")</f>
        <v>#REF!</v>
      </c>
    </row>
    <row r="64" spans="1:256" x14ac:dyDescent="0.2">
      <c r="A64" t="e">
        <f>AND(#REF!,"AAAAACq7vQA=")</f>
        <v>#REF!</v>
      </c>
      <c r="B64" t="e">
        <f>AND(#REF!,"AAAAACq7vQE=")</f>
        <v>#REF!</v>
      </c>
      <c r="C64" t="e">
        <f>AND(#REF!,"AAAAACq7vQI=")</f>
        <v>#REF!</v>
      </c>
      <c r="D64" t="e">
        <f>AND(#REF!,"AAAAACq7vQM=")</f>
        <v>#REF!</v>
      </c>
      <c r="E64" t="e">
        <f>AND(#REF!,"AAAAACq7vQQ=")</f>
        <v>#REF!</v>
      </c>
      <c r="F64" t="e">
        <f>AND(#REF!,"AAAAACq7vQU=")</f>
        <v>#REF!</v>
      </c>
      <c r="G64" t="e">
        <f>AND(#REF!,"AAAAACq7vQY=")</f>
        <v>#REF!</v>
      </c>
      <c r="H64" t="e">
        <f>AND(#REF!,"AAAAACq7vQc=")</f>
        <v>#REF!</v>
      </c>
      <c r="I64" t="e">
        <f>AND(#REF!,"AAAAACq7vQg=")</f>
        <v>#REF!</v>
      </c>
      <c r="J64" t="e">
        <f>AND(#REF!,"AAAAACq7vQk=")</f>
        <v>#REF!</v>
      </c>
      <c r="K64" t="e">
        <f>AND(#REF!,"AAAAACq7vQo=")</f>
        <v>#REF!</v>
      </c>
      <c r="L64" t="e">
        <f>AND(#REF!,"AAAAACq7vQs=")</f>
        <v>#REF!</v>
      </c>
      <c r="M64" t="e">
        <f>AND(#REF!,"AAAAACq7vQw=")</f>
        <v>#REF!</v>
      </c>
      <c r="N64" t="e">
        <f>AND(#REF!,"AAAAACq7vQ0=")</f>
        <v>#REF!</v>
      </c>
      <c r="O64" t="e">
        <f>AND(#REF!,"AAAAACq7vQ4=")</f>
        <v>#REF!</v>
      </c>
      <c r="P64" t="e">
        <f>AND(#REF!,"AAAAACq7vQ8=")</f>
        <v>#REF!</v>
      </c>
      <c r="Q64" t="e">
        <f>AND(#REF!,"AAAAACq7vRA=")</f>
        <v>#REF!</v>
      </c>
      <c r="R64" t="e">
        <f>AND(#REF!,"AAAAACq7vRE=")</f>
        <v>#REF!</v>
      </c>
      <c r="S64" t="e">
        <f>AND(#REF!,"AAAAACq7vRI=")</f>
        <v>#REF!</v>
      </c>
      <c r="T64" t="e">
        <f>AND(#REF!,"AAAAACq7vRM=")</f>
        <v>#REF!</v>
      </c>
      <c r="U64" t="e">
        <f>AND(#REF!,"AAAAACq7vRQ=")</f>
        <v>#REF!</v>
      </c>
      <c r="V64" t="e">
        <f>AND(#REF!,"AAAAACq7vRU=")</f>
        <v>#REF!</v>
      </c>
      <c r="W64" t="e">
        <f>AND(#REF!,"AAAAACq7vRY=")</f>
        <v>#REF!</v>
      </c>
      <c r="X64" t="e">
        <f>AND(#REF!,"AAAAACq7vRc=")</f>
        <v>#REF!</v>
      </c>
      <c r="Y64" t="e">
        <f>AND(#REF!,"AAAAACq7vRg=")</f>
        <v>#REF!</v>
      </c>
      <c r="Z64" t="e">
        <f>AND(#REF!,"AAAAACq7vRk=")</f>
        <v>#REF!</v>
      </c>
      <c r="AA64" t="e">
        <f>AND(#REF!,"AAAAACq7vRo=")</f>
        <v>#REF!</v>
      </c>
      <c r="AB64" t="e">
        <f>AND(#REF!,"AAAAACq7vRs=")</f>
        <v>#REF!</v>
      </c>
      <c r="AC64" t="e">
        <f>AND(#REF!,"AAAAACq7vRw=")</f>
        <v>#REF!</v>
      </c>
      <c r="AD64" t="e">
        <f>AND(#REF!,"AAAAACq7vR0=")</f>
        <v>#REF!</v>
      </c>
      <c r="AE64" t="e">
        <f>AND(#REF!,"AAAAACq7vR4=")</f>
        <v>#REF!</v>
      </c>
      <c r="AF64" t="e">
        <f>AND(#REF!,"AAAAACq7vR8=")</f>
        <v>#REF!</v>
      </c>
      <c r="AG64" t="e">
        <f>AND(#REF!,"AAAAACq7vSA=")</f>
        <v>#REF!</v>
      </c>
      <c r="AH64" t="e">
        <f>AND(#REF!,"AAAAACq7vSE=")</f>
        <v>#REF!</v>
      </c>
      <c r="AI64" t="e">
        <f>AND(#REF!,"AAAAACq7vSI=")</f>
        <v>#REF!</v>
      </c>
      <c r="AJ64" t="e">
        <f>AND(#REF!,"AAAAACq7vSM=")</f>
        <v>#REF!</v>
      </c>
      <c r="AK64" t="e">
        <f>AND(#REF!,"AAAAACq7vSQ=")</f>
        <v>#REF!</v>
      </c>
      <c r="AL64" t="e">
        <f>AND(#REF!,"AAAAACq7vSU=")</f>
        <v>#REF!</v>
      </c>
      <c r="AM64" t="e">
        <f>AND(#REF!,"AAAAACq7vSY=")</f>
        <v>#REF!</v>
      </c>
      <c r="AN64" t="e">
        <f>AND(#REF!,"AAAAACq7vSc=")</f>
        <v>#REF!</v>
      </c>
      <c r="AO64" t="e">
        <f>AND(#REF!,"AAAAACq7vSg=")</f>
        <v>#REF!</v>
      </c>
      <c r="AP64" t="e">
        <f>AND(#REF!,"AAAAACq7vSk=")</f>
        <v>#REF!</v>
      </c>
      <c r="AQ64" t="e">
        <f>AND(#REF!,"AAAAACq7vSo=")</f>
        <v>#REF!</v>
      </c>
      <c r="AR64" t="e">
        <f>AND(#REF!,"AAAAACq7vSs=")</f>
        <v>#REF!</v>
      </c>
      <c r="AS64" t="e">
        <f>AND(#REF!,"AAAAACq7vSw=")</f>
        <v>#REF!</v>
      </c>
      <c r="AT64" t="e">
        <f>AND(#REF!,"AAAAACq7vS0=")</f>
        <v>#REF!</v>
      </c>
      <c r="AU64" t="e">
        <f>AND(#REF!,"AAAAACq7vS4=")</f>
        <v>#REF!</v>
      </c>
      <c r="AV64" t="e">
        <f>AND(#REF!,"AAAAACq7vS8=")</f>
        <v>#REF!</v>
      </c>
      <c r="AW64" t="e">
        <f>AND(#REF!,"AAAAACq7vTA=")</f>
        <v>#REF!</v>
      </c>
      <c r="AX64" t="e">
        <f>AND(#REF!,"AAAAACq7vTE=")</f>
        <v>#REF!</v>
      </c>
      <c r="AY64" t="e">
        <f>AND(#REF!,"AAAAACq7vTI=")</f>
        <v>#REF!</v>
      </c>
      <c r="AZ64" t="e">
        <f>AND(#REF!,"AAAAACq7vTM=")</f>
        <v>#REF!</v>
      </c>
      <c r="BA64" t="e">
        <f>AND(#REF!,"AAAAACq7vTQ=")</f>
        <v>#REF!</v>
      </c>
      <c r="BB64" t="e">
        <f>AND(#REF!,"AAAAACq7vTU=")</f>
        <v>#REF!</v>
      </c>
      <c r="BC64" t="e">
        <f>AND(#REF!,"AAAAACq7vTY=")</f>
        <v>#REF!</v>
      </c>
      <c r="BD64" t="e">
        <f>AND(#REF!,"AAAAACq7vTc=")</f>
        <v>#REF!</v>
      </c>
      <c r="BE64" t="e">
        <f>AND(#REF!,"AAAAACq7vTg=")</f>
        <v>#REF!</v>
      </c>
      <c r="BF64" t="e">
        <f>AND(#REF!,"AAAAACq7vTk=")</f>
        <v>#REF!</v>
      </c>
      <c r="BG64" t="e">
        <f>AND(#REF!,"AAAAACq7vTo=")</f>
        <v>#REF!</v>
      </c>
      <c r="BH64" t="e">
        <f>AND(#REF!,"AAAAACq7vTs=")</f>
        <v>#REF!</v>
      </c>
      <c r="BI64" t="e">
        <f>AND(#REF!,"AAAAACq7vTw=")</f>
        <v>#REF!</v>
      </c>
      <c r="BJ64" t="e">
        <f>AND(#REF!,"AAAAACq7vT0=")</f>
        <v>#REF!</v>
      </c>
      <c r="BK64" t="e">
        <f>AND(#REF!,"AAAAACq7vT4=")</f>
        <v>#REF!</v>
      </c>
      <c r="BL64" t="e">
        <f>AND(#REF!,"AAAAACq7vT8=")</f>
        <v>#REF!</v>
      </c>
      <c r="BM64" t="e">
        <f>AND(#REF!,"AAAAACq7vUA=")</f>
        <v>#REF!</v>
      </c>
      <c r="BN64" t="e">
        <f>AND(#REF!,"AAAAACq7vUE=")</f>
        <v>#REF!</v>
      </c>
      <c r="BO64" t="e">
        <f>AND(#REF!,"AAAAACq7vUI=")</f>
        <v>#REF!</v>
      </c>
      <c r="BP64" t="e">
        <f>AND(#REF!,"AAAAACq7vUM=")</f>
        <v>#REF!</v>
      </c>
      <c r="BQ64" t="e">
        <f>AND(#REF!,"AAAAACq7vUQ=")</f>
        <v>#REF!</v>
      </c>
      <c r="BR64" t="e">
        <f>AND(#REF!,"AAAAACq7vUU=")</f>
        <v>#REF!</v>
      </c>
      <c r="BS64" t="e">
        <f>AND(#REF!,"AAAAACq7vUY=")</f>
        <v>#REF!</v>
      </c>
      <c r="BT64" t="e">
        <f>AND(#REF!,"AAAAACq7vUc=")</f>
        <v>#REF!</v>
      </c>
      <c r="BU64" t="e">
        <f>IF(#REF!,"AAAAACq7vUg=",0)</f>
        <v>#REF!</v>
      </c>
      <c r="BV64" t="e">
        <f>AND(#REF!,"AAAAACq7vUk=")</f>
        <v>#REF!</v>
      </c>
      <c r="BW64" t="e">
        <f>AND(#REF!,"AAAAACq7vUo=")</f>
        <v>#REF!</v>
      </c>
      <c r="BX64" t="e">
        <f>AND(#REF!,"AAAAACq7vUs=")</f>
        <v>#REF!</v>
      </c>
      <c r="BY64" t="e">
        <f>AND(#REF!,"AAAAACq7vUw=")</f>
        <v>#REF!</v>
      </c>
      <c r="BZ64" t="e">
        <f>AND(#REF!,"AAAAACq7vU0=")</f>
        <v>#REF!</v>
      </c>
      <c r="CA64" t="e">
        <f>AND(#REF!,"AAAAACq7vU4=")</f>
        <v>#REF!</v>
      </c>
      <c r="CB64" t="e">
        <f>AND(#REF!,"AAAAACq7vU8=")</f>
        <v>#REF!</v>
      </c>
      <c r="CC64" t="e">
        <f>AND(#REF!,"AAAAACq7vVA=")</f>
        <v>#REF!</v>
      </c>
      <c r="CD64" t="e">
        <f>AND(#REF!,"AAAAACq7vVE=")</f>
        <v>#REF!</v>
      </c>
      <c r="CE64" t="e">
        <f>AND(#REF!,"AAAAACq7vVI=")</f>
        <v>#REF!</v>
      </c>
      <c r="CF64" t="e">
        <f>AND(#REF!,"AAAAACq7vVM=")</f>
        <v>#REF!</v>
      </c>
      <c r="CG64" t="e">
        <f>AND(#REF!,"AAAAACq7vVQ=")</f>
        <v>#REF!</v>
      </c>
      <c r="CH64" t="e">
        <f>AND(#REF!,"AAAAACq7vVU=")</f>
        <v>#REF!</v>
      </c>
      <c r="CI64" t="e">
        <f>AND(#REF!,"AAAAACq7vVY=")</f>
        <v>#REF!</v>
      </c>
      <c r="CJ64" t="e">
        <f>AND(#REF!,"AAAAACq7vVc=")</f>
        <v>#REF!</v>
      </c>
      <c r="CK64" t="e">
        <f>AND(#REF!,"AAAAACq7vVg=")</f>
        <v>#REF!</v>
      </c>
      <c r="CL64" t="e">
        <f>AND(#REF!,"AAAAACq7vVk=")</f>
        <v>#REF!</v>
      </c>
      <c r="CM64" t="e">
        <f>AND(#REF!,"AAAAACq7vVo=")</f>
        <v>#REF!</v>
      </c>
      <c r="CN64" t="e">
        <f>AND(#REF!,"AAAAACq7vVs=")</f>
        <v>#REF!</v>
      </c>
      <c r="CO64" t="e">
        <f>AND(#REF!,"AAAAACq7vVw=")</f>
        <v>#REF!</v>
      </c>
      <c r="CP64" t="e">
        <f>AND(#REF!,"AAAAACq7vV0=")</f>
        <v>#REF!</v>
      </c>
      <c r="CQ64" t="e">
        <f>AND(#REF!,"AAAAACq7vV4=")</f>
        <v>#REF!</v>
      </c>
      <c r="CR64" t="e">
        <f>AND(#REF!,"AAAAACq7vV8=")</f>
        <v>#REF!</v>
      </c>
      <c r="CS64" t="e">
        <f>AND(#REF!,"AAAAACq7vWA=")</f>
        <v>#REF!</v>
      </c>
      <c r="CT64" t="e">
        <f>AND(#REF!,"AAAAACq7vWE=")</f>
        <v>#REF!</v>
      </c>
      <c r="CU64" t="e">
        <f>AND(#REF!,"AAAAACq7vWI=")</f>
        <v>#REF!</v>
      </c>
      <c r="CV64" t="e">
        <f>AND(#REF!,"AAAAACq7vWM=")</f>
        <v>#REF!</v>
      </c>
      <c r="CW64" t="e">
        <f>AND(#REF!,"AAAAACq7vWQ=")</f>
        <v>#REF!</v>
      </c>
      <c r="CX64" t="e">
        <f>AND(#REF!,"AAAAACq7vWU=")</f>
        <v>#REF!</v>
      </c>
      <c r="CY64" t="e">
        <f>AND(#REF!,"AAAAACq7vWY=")</f>
        <v>#REF!</v>
      </c>
      <c r="CZ64" t="e">
        <f>AND(#REF!,"AAAAACq7vWc=")</f>
        <v>#REF!</v>
      </c>
      <c r="DA64" t="e">
        <f>AND(#REF!,"AAAAACq7vWg=")</f>
        <v>#REF!</v>
      </c>
      <c r="DB64" t="e">
        <f>AND(#REF!,"AAAAACq7vWk=")</f>
        <v>#REF!</v>
      </c>
      <c r="DC64" t="e">
        <f>AND(#REF!,"AAAAACq7vWo=")</f>
        <v>#REF!</v>
      </c>
      <c r="DD64" t="e">
        <f>AND(#REF!,"AAAAACq7vWs=")</f>
        <v>#REF!</v>
      </c>
      <c r="DE64" t="e">
        <f>AND(#REF!,"AAAAACq7vWw=")</f>
        <v>#REF!</v>
      </c>
      <c r="DF64" t="e">
        <f>AND(#REF!,"AAAAACq7vW0=")</f>
        <v>#REF!</v>
      </c>
      <c r="DG64" t="e">
        <f>AND(#REF!,"AAAAACq7vW4=")</f>
        <v>#REF!</v>
      </c>
      <c r="DH64" t="e">
        <f>AND(#REF!,"AAAAACq7vW8=")</f>
        <v>#REF!</v>
      </c>
      <c r="DI64" t="e">
        <f>AND(#REF!,"AAAAACq7vXA=")</f>
        <v>#REF!</v>
      </c>
      <c r="DJ64" t="e">
        <f>AND(#REF!,"AAAAACq7vXE=")</f>
        <v>#REF!</v>
      </c>
      <c r="DK64" t="e">
        <f>AND(#REF!,"AAAAACq7vXI=")</f>
        <v>#REF!</v>
      </c>
      <c r="DL64" t="e">
        <f>AND(#REF!,"AAAAACq7vXM=")</f>
        <v>#REF!</v>
      </c>
      <c r="DM64" t="e">
        <f>AND(#REF!,"AAAAACq7vXQ=")</f>
        <v>#REF!</v>
      </c>
      <c r="DN64" t="e">
        <f>AND(#REF!,"AAAAACq7vXU=")</f>
        <v>#REF!</v>
      </c>
      <c r="DO64" t="e">
        <f>AND(#REF!,"AAAAACq7vXY=")</f>
        <v>#REF!</v>
      </c>
      <c r="DP64" t="e">
        <f>AND(#REF!,"AAAAACq7vXc=")</f>
        <v>#REF!</v>
      </c>
      <c r="DQ64" t="e">
        <f>AND(#REF!,"AAAAACq7vXg=")</f>
        <v>#REF!</v>
      </c>
      <c r="DR64" t="e">
        <f>AND(#REF!,"AAAAACq7vXk=")</f>
        <v>#REF!</v>
      </c>
      <c r="DS64" t="e">
        <f>AND(#REF!,"AAAAACq7vXo=")</f>
        <v>#REF!</v>
      </c>
      <c r="DT64" t="e">
        <f>AND(#REF!,"AAAAACq7vXs=")</f>
        <v>#REF!</v>
      </c>
      <c r="DU64" t="e">
        <f>AND(#REF!,"AAAAACq7vXw=")</f>
        <v>#REF!</v>
      </c>
      <c r="DV64" t="e">
        <f>AND(#REF!,"AAAAACq7vX0=")</f>
        <v>#REF!</v>
      </c>
      <c r="DW64" t="e">
        <f>AND(#REF!,"AAAAACq7vX4=")</f>
        <v>#REF!</v>
      </c>
      <c r="DX64" t="e">
        <f>AND(#REF!,"AAAAACq7vX8=")</f>
        <v>#REF!</v>
      </c>
      <c r="DY64" t="e">
        <f>AND(#REF!,"AAAAACq7vYA=")</f>
        <v>#REF!</v>
      </c>
      <c r="DZ64" t="e">
        <f>AND(#REF!,"AAAAACq7vYE=")</f>
        <v>#REF!</v>
      </c>
      <c r="EA64" t="e">
        <f>AND(#REF!,"AAAAACq7vYI=")</f>
        <v>#REF!</v>
      </c>
      <c r="EB64" t="e">
        <f>AND(#REF!,"AAAAACq7vYM=")</f>
        <v>#REF!</v>
      </c>
      <c r="EC64" t="e">
        <f>AND(#REF!,"AAAAACq7vYQ=")</f>
        <v>#REF!</v>
      </c>
      <c r="ED64" t="e">
        <f>AND(#REF!,"AAAAACq7vYU=")</f>
        <v>#REF!</v>
      </c>
      <c r="EE64" t="e">
        <f>AND(#REF!,"AAAAACq7vYY=")</f>
        <v>#REF!</v>
      </c>
      <c r="EF64" t="e">
        <f>AND(#REF!,"AAAAACq7vYc=")</f>
        <v>#REF!</v>
      </c>
      <c r="EG64" t="e">
        <f>AND(#REF!,"AAAAACq7vYg=")</f>
        <v>#REF!</v>
      </c>
      <c r="EH64" t="e">
        <f>AND(#REF!,"AAAAACq7vYk=")</f>
        <v>#REF!</v>
      </c>
      <c r="EI64" t="e">
        <f>AND(#REF!,"AAAAACq7vYo=")</f>
        <v>#REF!</v>
      </c>
      <c r="EJ64" t="e">
        <f>AND(#REF!,"AAAAACq7vYs=")</f>
        <v>#REF!</v>
      </c>
      <c r="EK64" t="e">
        <f>AND(#REF!,"AAAAACq7vYw=")</f>
        <v>#REF!</v>
      </c>
      <c r="EL64" t="e">
        <f>AND(#REF!,"AAAAACq7vY0=")</f>
        <v>#REF!</v>
      </c>
      <c r="EM64" t="e">
        <f>AND(#REF!,"AAAAACq7vY4=")</f>
        <v>#REF!</v>
      </c>
      <c r="EN64" t="e">
        <f>AND(#REF!,"AAAAACq7vY8=")</f>
        <v>#REF!</v>
      </c>
      <c r="EO64" t="e">
        <f>AND(#REF!,"AAAAACq7vZA=")</f>
        <v>#REF!</v>
      </c>
      <c r="EP64" t="e">
        <f>AND(#REF!,"AAAAACq7vZE=")</f>
        <v>#REF!</v>
      </c>
      <c r="EQ64" t="e">
        <f>AND(#REF!,"AAAAACq7vZI=")</f>
        <v>#REF!</v>
      </c>
      <c r="ER64" t="e">
        <f>IF(#REF!,"AAAAACq7vZM=",0)</f>
        <v>#REF!</v>
      </c>
      <c r="ES64" t="e">
        <f>AND(#REF!,"AAAAACq7vZQ=")</f>
        <v>#REF!</v>
      </c>
      <c r="ET64" t="e">
        <f>AND(#REF!,"AAAAACq7vZU=")</f>
        <v>#REF!</v>
      </c>
      <c r="EU64" t="e">
        <f>AND(#REF!,"AAAAACq7vZY=")</f>
        <v>#REF!</v>
      </c>
      <c r="EV64" t="e">
        <f>AND(#REF!,"AAAAACq7vZc=")</f>
        <v>#REF!</v>
      </c>
      <c r="EW64" t="e">
        <f>AND(#REF!,"AAAAACq7vZg=")</f>
        <v>#REF!</v>
      </c>
      <c r="EX64" t="e">
        <f>AND(#REF!,"AAAAACq7vZk=")</f>
        <v>#REF!</v>
      </c>
      <c r="EY64" t="e">
        <f>AND(#REF!,"AAAAACq7vZo=")</f>
        <v>#REF!</v>
      </c>
      <c r="EZ64" t="e">
        <f>AND(#REF!,"AAAAACq7vZs=")</f>
        <v>#REF!</v>
      </c>
      <c r="FA64" t="e">
        <f>AND(#REF!,"AAAAACq7vZw=")</f>
        <v>#REF!</v>
      </c>
      <c r="FB64" t="e">
        <f>AND(#REF!,"AAAAACq7vZ0=")</f>
        <v>#REF!</v>
      </c>
      <c r="FC64" t="e">
        <f>AND(#REF!,"AAAAACq7vZ4=")</f>
        <v>#REF!</v>
      </c>
      <c r="FD64" t="e">
        <f>AND(#REF!,"AAAAACq7vZ8=")</f>
        <v>#REF!</v>
      </c>
      <c r="FE64" t="e">
        <f>AND(#REF!,"AAAAACq7vaA=")</f>
        <v>#REF!</v>
      </c>
      <c r="FF64" t="e">
        <f>AND(#REF!,"AAAAACq7vaE=")</f>
        <v>#REF!</v>
      </c>
      <c r="FG64" t="e">
        <f>AND(#REF!,"AAAAACq7vaI=")</f>
        <v>#REF!</v>
      </c>
      <c r="FH64" t="e">
        <f>AND(#REF!,"AAAAACq7vaM=")</f>
        <v>#REF!</v>
      </c>
      <c r="FI64" t="e">
        <f>AND(#REF!,"AAAAACq7vaQ=")</f>
        <v>#REF!</v>
      </c>
      <c r="FJ64" t="e">
        <f>AND(#REF!,"AAAAACq7vaU=")</f>
        <v>#REF!</v>
      </c>
      <c r="FK64" t="e">
        <f>AND(#REF!,"AAAAACq7vaY=")</f>
        <v>#REF!</v>
      </c>
      <c r="FL64" t="e">
        <f>AND(#REF!,"AAAAACq7vac=")</f>
        <v>#REF!</v>
      </c>
      <c r="FM64" t="e">
        <f>AND(#REF!,"AAAAACq7vag=")</f>
        <v>#REF!</v>
      </c>
      <c r="FN64" t="e">
        <f>AND(#REF!,"AAAAACq7vak=")</f>
        <v>#REF!</v>
      </c>
      <c r="FO64" t="e">
        <f>AND(#REF!,"AAAAACq7vao=")</f>
        <v>#REF!</v>
      </c>
      <c r="FP64" t="e">
        <f>AND(#REF!,"AAAAACq7vas=")</f>
        <v>#REF!</v>
      </c>
      <c r="FQ64" t="e">
        <f>AND(#REF!,"AAAAACq7vaw=")</f>
        <v>#REF!</v>
      </c>
      <c r="FR64" t="e">
        <f>AND(#REF!,"AAAAACq7va0=")</f>
        <v>#REF!</v>
      </c>
      <c r="FS64" t="e">
        <f>AND(#REF!,"AAAAACq7va4=")</f>
        <v>#REF!</v>
      </c>
      <c r="FT64" t="e">
        <f>AND(#REF!,"AAAAACq7va8=")</f>
        <v>#REF!</v>
      </c>
      <c r="FU64" t="e">
        <f>AND(#REF!,"AAAAACq7vbA=")</f>
        <v>#REF!</v>
      </c>
      <c r="FV64" t="e">
        <f>AND(#REF!,"AAAAACq7vbE=")</f>
        <v>#REF!</v>
      </c>
      <c r="FW64" t="e">
        <f>AND(#REF!,"AAAAACq7vbI=")</f>
        <v>#REF!</v>
      </c>
      <c r="FX64" t="e">
        <f>AND(#REF!,"AAAAACq7vbM=")</f>
        <v>#REF!</v>
      </c>
      <c r="FY64" t="e">
        <f>AND(#REF!,"AAAAACq7vbQ=")</f>
        <v>#REF!</v>
      </c>
      <c r="FZ64" t="e">
        <f>AND(#REF!,"AAAAACq7vbU=")</f>
        <v>#REF!</v>
      </c>
      <c r="GA64" t="e">
        <f>AND(#REF!,"AAAAACq7vbY=")</f>
        <v>#REF!</v>
      </c>
      <c r="GB64" t="e">
        <f>AND(#REF!,"AAAAACq7vbc=")</f>
        <v>#REF!</v>
      </c>
      <c r="GC64" t="e">
        <f>AND(#REF!,"AAAAACq7vbg=")</f>
        <v>#REF!</v>
      </c>
      <c r="GD64" t="e">
        <f>AND(#REF!,"AAAAACq7vbk=")</f>
        <v>#REF!</v>
      </c>
      <c r="GE64" t="e">
        <f>AND(#REF!,"AAAAACq7vbo=")</f>
        <v>#REF!</v>
      </c>
      <c r="GF64" t="e">
        <f>AND(#REF!,"AAAAACq7vbs=")</f>
        <v>#REF!</v>
      </c>
      <c r="GG64" t="e">
        <f>AND(#REF!,"AAAAACq7vbw=")</f>
        <v>#REF!</v>
      </c>
      <c r="GH64" t="e">
        <f>AND(#REF!,"AAAAACq7vb0=")</f>
        <v>#REF!</v>
      </c>
      <c r="GI64" t="e">
        <f>AND(#REF!,"AAAAACq7vb4=")</f>
        <v>#REF!</v>
      </c>
      <c r="GJ64" t="e">
        <f>AND(#REF!,"AAAAACq7vb8=")</f>
        <v>#REF!</v>
      </c>
      <c r="GK64" t="e">
        <f>AND(#REF!,"AAAAACq7vcA=")</f>
        <v>#REF!</v>
      </c>
      <c r="GL64" t="e">
        <f>AND(#REF!,"AAAAACq7vcE=")</f>
        <v>#REF!</v>
      </c>
      <c r="GM64" t="e">
        <f>AND(#REF!,"AAAAACq7vcI=")</f>
        <v>#REF!</v>
      </c>
      <c r="GN64" t="e">
        <f>AND(#REF!,"AAAAACq7vcM=")</f>
        <v>#REF!</v>
      </c>
      <c r="GO64" t="e">
        <f>AND(#REF!,"AAAAACq7vcQ=")</f>
        <v>#REF!</v>
      </c>
      <c r="GP64" t="e">
        <f>AND(#REF!,"AAAAACq7vcU=")</f>
        <v>#REF!</v>
      </c>
      <c r="GQ64" t="e">
        <f>AND(#REF!,"AAAAACq7vcY=")</f>
        <v>#REF!</v>
      </c>
      <c r="GR64" t="e">
        <f>AND(#REF!,"AAAAACq7vcc=")</f>
        <v>#REF!</v>
      </c>
      <c r="GS64" t="e">
        <f>AND(#REF!,"AAAAACq7vcg=")</f>
        <v>#REF!</v>
      </c>
      <c r="GT64" t="e">
        <f>AND(#REF!,"AAAAACq7vck=")</f>
        <v>#REF!</v>
      </c>
      <c r="GU64" t="e">
        <f>AND(#REF!,"AAAAACq7vco=")</f>
        <v>#REF!</v>
      </c>
      <c r="GV64" t="e">
        <f>AND(#REF!,"AAAAACq7vcs=")</f>
        <v>#REF!</v>
      </c>
      <c r="GW64" t="e">
        <f>AND(#REF!,"AAAAACq7vcw=")</f>
        <v>#REF!</v>
      </c>
      <c r="GX64" t="e">
        <f>AND(#REF!,"AAAAACq7vc0=")</f>
        <v>#REF!</v>
      </c>
      <c r="GY64" t="e">
        <f>AND(#REF!,"AAAAACq7vc4=")</f>
        <v>#REF!</v>
      </c>
      <c r="GZ64" t="e">
        <f>AND(#REF!,"AAAAACq7vc8=")</f>
        <v>#REF!</v>
      </c>
      <c r="HA64" t="e">
        <f>AND(#REF!,"AAAAACq7vdA=")</f>
        <v>#REF!</v>
      </c>
      <c r="HB64" t="e">
        <f>AND(#REF!,"AAAAACq7vdE=")</f>
        <v>#REF!</v>
      </c>
      <c r="HC64" t="e">
        <f>AND(#REF!,"AAAAACq7vdI=")</f>
        <v>#REF!</v>
      </c>
      <c r="HD64" t="e">
        <f>AND(#REF!,"AAAAACq7vdM=")</f>
        <v>#REF!</v>
      </c>
      <c r="HE64" t="e">
        <f>AND(#REF!,"AAAAACq7vdQ=")</f>
        <v>#REF!</v>
      </c>
      <c r="HF64" t="e">
        <f>AND(#REF!,"AAAAACq7vdU=")</f>
        <v>#REF!</v>
      </c>
      <c r="HG64" t="e">
        <f>AND(#REF!,"AAAAACq7vdY=")</f>
        <v>#REF!</v>
      </c>
      <c r="HH64" t="e">
        <f>AND(#REF!,"AAAAACq7vdc=")</f>
        <v>#REF!</v>
      </c>
      <c r="HI64" t="e">
        <f>AND(#REF!,"AAAAACq7vdg=")</f>
        <v>#REF!</v>
      </c>
      <c r="HJ64" t="e">
        <f>AND(#REF!,"AAAAACq7vdk=")</f>
        <v>#REF!</v>
      </c>
      <c r="HK64" t="e">
        <f>AND(#REF!,"AAAAACq7vdo=")</f>
        <v>#REF!</v>
      </c>
      <c r="HL64" t="e">
        <f>AND(#REF!,"AAAAACq7vds=")</f>
        <v>#REF!</v>
      </c>
      <c r="HM64" t="e">
        <f>AND(#REF!,"AAAAACq7vdw=")</f>
        <v>#REF!</v>
      </c>
      <c r="HN64" t="e">
        <f>AND(#REF!,"AAAAACq7vd0=")</f>
        <v>#REF!</v>
      </c>
      <c r="HO64" t="e">
        <f>IF(#REF!,"AAAAACq7vd4=",0)</f>
        <v>#REF!</v>
      </c>
      <c r="HP64" t="e">
        <f>AND(#REF!,"AAAAACq7vd8=")</f>
        <v>#REF!</v>
      </c>
      <c r="HQ64" t="e">
        <f>AND(#REF!,"AAAAACq7veA=")</f>
        <v>#REF!</v>
      </c>
      <c r="HR64" t="e">
        <f>AND(#REF!,"AAAAACq7veE=")</f>
        <v>#REF!</v>
      </c>
      <c r="HS64" t="e">
        <f>AND(#REF!,"AAAAACq7veI=")</f>
        <v>#REF!</v>
      </c>
      <c r="HT64" t="e">
        <f>AND(#REF!,"AAAAACq7veM=")</f>
        <v>#REF!</v>
      </c>
      <c r="HU64" t="e">
        <f>AND(#REF!,"AAAAACq7veQ=")</f>
        <v>#REF!</v>
      </c>
      <c r="HV64" t="e">
        <f>AND(#REF!,"AAAAACq7veU=")</f>
        <v>#REF!</v>
      </c>
      <c r="HW64" t="e">
        <f>AND(#REF!,"AAAAACq7veY=")</f>
        <v>#REF!</v>
      </c>
      <c r="HX64" t="e">
        <f>AND(#REF!,"AAAAACq7vec=")</f>
        <v>#REF!</v>
      </c>
      <c r="HY64" t="e">
        <f>AND(#REF!,"AAAAACq7veg=")</f>
        <v>#REF!</v>
      </c>
      <c r="HZ64" t="e">
        <f>AND(#REF!,"AAAAACq7vek=")</f>
        <v>#REF!</v>
      </c>
      <c r="IA64" t="e">
        <f>AND(#REF!,"AAAAACq7veo=")</f>
        <v>#REF!</v>
      </c>
      <c r="IB64" t="e">
        <f>AND(#REF!,"AAAAACq7ves=")</f>
        <v>#REF!</v>
      </c>
      <c r="IC64" t="e">
        <f>AND(#REF!,"AAAAACq7vew=")</f>
        <v>#REF!</v>
      </c>
      <c r="ID64" t="e">
        <f>AND(#REF!,"AAAAACq7ve0=")</f>
        <v>#REF!</v>
      </c>
      <c r="IE64" t="e">
        <f>AND(#REF!,"AAAAACq7ve4=")</f>
        <v>#REF!</v>
      </c>
      <c r="IF64" t="e">
        <f>AND(#REF!,"AAAAACq7ve8=")</f>
        <v>#REF!</v>
      </c>
      <c r="IG64" t="e">
        <f>AND(#REF!,"AAAAACq7vfA=")</f>
        <v>#REF!</v>
      </c>
      <c r="IH64" t="e">
        <f>AND(#REF!,"AAAAACq7vfE=")</f>
        <v>#REF!</v>
      </c>
      <c r="II64" t="e">
        <f>AND(#REF!,"AAAAACq7vfI=")</f>
        <v>#REF!</v>
      </c>
      <c r="IJ64" t="e">
        <f>AND(#REF!,"AAAAACq7vfM=")</f>
        <v>#REF!</v>
      </c>
      <c r="IK64" t="e">
        <f>AND(#REF!,"AAAAACq7vfQ=")</f>
        <v>#REF!</v>
      </c>
      <c r="IL64" t="e">
        <f>AND(#REF!,"AAAAACq7vfU=")</f>
        <v>#REF!</v>
      </c>
      <c r="IM64" t="e">
        <f>AND(#REF!,"AAAAACq7vfY=")</f>
        <v>#REF!</v>
      </c>
      <c r="IN64" t="e">
        <f>AND(#REF!,"AAAAACq7vfc=")</f>
        <v>#REF!</v>
      </c>
      <c r="IO64" t="e">
        <f>AND(#REF!,"AAAAACq7vfg=")</f>
        <v>#REF!</v>
      </c>
      <c r="IP64" t="e">
        <f>AND(#REF!,"AAAAACq7vfk=")</f>
        <v>#REF!</v>
      </c>
      <c r="IQ64" t="e">
        <f>AND(#REF!,"AAAAACq7vfo=")</f>
        <v>#REF!</v>
      </c>
      <c r="IR64" t="e">
        <f>AND(#REF!,"AAAAACq7vfs=")</f>
        <v>#REF!</v>
      </c>
      <c r="IS64" t="e">
        <f>AND(#REF!,"AAAAACq7vfw=")</f>
        <v>#REF!</v>
      </c>
      <c r="IT64" t="e">
        <f>AND(#REF!,"AAAAACq7vf0=")</f>
        <v>#REF!</v>
      </c>
      <c r="IU64" t="e">
        <f>AND(#REF!,"AAAAACq7vf4=")</f>
        <v>#REF!</v>
      </c>
      <c r="IV64" t="e">
        <f>AND(#REF!,"AAAAACq7vf8=")</f>
        <v>#REF!</v>
      </c>
    </row>
    <row r="65" spans="1:256" x14ac:dyDescent="0.2">
      <c r="A65" t="e">
        <f>AND(#REF!,"AAAAAHz67wA=")</f>
        <v>#REF!</v>
      </c>
      <c r="B65" t="e">
        <f>AND(#REF!,"AAAAAHz67wE=")</f>
        <v>#REF!</v>
      </c>
      <c r="C65" t="e">
        <f>AND(#REF!,"AAAAAHz67wI=")</f>
        <v>#REF!</v>
      </c>
      <c r="D65" t="e">
        <f>AND(#REF!,"AAAAAHz67wM=")</f>
        <v>#REF!</v>
      </c>
      <c r="E65" t="e">
        <f>AND(#REF!,"AAAAAHz67wQ=")</f>
        <v>#REF!</v>
      </c>
      <c r="F65" t="e">
        <f>AND(#REF!,"AAAAAHz67wU=")</f>
        <v>#REF!</v>
      </c>
      <c r="G65" t="e">
        <f>AND(#REF!,"AAAAAHz67wY=")</f>
        <v>#REF!</v>
      </c>
      <c r="H65" t="e">
        <f>AND(#REF!,"AAAAAHz67wc=")</f>
        <v>#REF!</v>
      </c>
      <c r="I65" t="e">
        <f>AND(#REF!,"AAAAAHz67wg=")</f>
        <v>#REF!</v>
      </c>
      <c r="J65" t="e">
        <f>AND(#REF!,"AAAAAHz67wk=")</f>
        <v>#REF!</v>
      </c>
      <c r="K65" t="e">
        <f>AND(#REF!,"AAAAAHz67wo=")</f>
        <v>#REF!</v>
      </c>
      <c r="L65" t="e">
        <f>AND(#REF!,"AAAAAHz67ws=")</f>
        <v>#REF!</v>
      </c>
      <c r="M65" t="e">
        <f>AND(#REF!,"AAAAAHz67ww=")</f>
        <v>#REF!</v>
      </c>
      <c r="N65" t="e">
        <f>AND(#REF!,"AAAAAHz67w0=")</f>
        <v>#REF!</v>
      </c>
      <c r="O65" t="e">
        <f>AND(#REF!,"AAAAAHz67w4=")</f>
        <v>#REF!</v>
      </c>
      <c r="P65" t="e">
        <f>AND(#REF!,"AAAAAHz67w8=")</f>
        <v>#REF!</v>
      </c>
      <c r="Q65" t="e">
        <f>AND(#REF!,"AAAAAHz67xA=")</f>
        <v>#REF!</v>
      </c>
      <c r="R65" t="e">
        <f>AND(#REF!,"AAAAAHz67xE=")</f>
        <v>#REF!</v>
      </c>
      <c r="S65" t="e">
        <f>AND(#REF!,"AAAAAHz67xI=")</f>
        <v>#REF!</v>
      </c>
      <c r="T65" t="e">
        <f>AND(#REF!,"AAAAAHz67xM=")</f>
        <v>#REF!</v>
      </c>
      <c r="U65" t="e">
        <f>AND(#REF!,"AAAAAHz67xQ=")</f>
        <v>#REF!</v>
      </c>
      <c r="V65" t="e">
        <f>AND(#REF!,"AAAAAHz67xU=")</f>
        <v>#REF!</v>
      </c>
      <c r="W65" t="e">
        <f>AND(#REF!,"AAAAAHz67xY=")</f>
        <v>#REF!</v>
      </c>
      <c r="X65" t="e">
        <f>AND(#REF!,"AAAAAHz67xc=")</f>
        <v>#REF!</v>
      </c>
      <c r="Y65" t="e">
        <f>AND(#REF!,"AAAAAHz67xg=")</f>
        <v>#REF!</v>
      </c>
      <c r="Z65" t="e">
        <f>AND(#REF!,"AAAAAHz67xk=")</f>
        <v>#REF!</v>
      </c>
      <c r="AA65" t="e">
        <f>AND(#REF!,"AAAAAHz67xo=")</f>
        <v>#REF!</v>
      </c>
      <c r="AB65" t="e">
        <f>AND(#REF!,"AAAAAHz67xs=")</f>
        <v>#REF!</v>
      </c>
      <c r="AC65" t="e">
        <f>AND(#REF!,"AAAAAHz67xw=")</f>
        <v>#REF!</v>
      </c>
      <c r="AD65" t="e">
        <f>AND(#REF!,"AAAAAHz67x0=")</f>
        <v>#REF!</v>
      </c>
      <c r="AE65" t="e">
        <f>AND(#REF!,"AAAAAHz67x4=")</f>
        <v>#REF!</v>
      </c>
      <c r="AF65" t="e">
        <f>AND(#REF!,"AAAAAHz67x8=")</f>
        <v>#REF!</v>
      </c>
      <c r="AG65" t="e">
        <f>AND(#REF!,"AAAAAHz67yA=")</f>
        <v>#REF!</v>
      </c>
      <c r="AH65" t="e">
        <f>AND(#REF!,"AAAAAHz67yE=")</f>
        <v>#REF!</v>
      </c>
      <c r="AI65" t="e">
        <f>AND(#REF!,"AAAAAHz67yI=")</f>
        <v>#REF!</v>
      </c>
      <c r="AJ65" t="e">
        <f>AND(#REF!,"AAAAAHz67yM=")</f>
        <v>#REF!</v>
      </c>
      <c r="AK65" t="e">
        <f>AND(#REF!,"AAAAAHz67yQ=")</f>
        <v>#REF!</v>
      </c>
      <c r="AL65" t="e">
        <f>AND(#REF!,"AAAAAHz67yU=")</f>
        <v>#REF!</v>
      </c>
      <c r="AM65" t="e">
        <f>AND(#REF!,"AAAAAHz67yY=")</f>
        <v>#REF!</v>
      </c>
      <c r="AN65" t="e">
        <f>AND(#REF!,"AAAAAHz67yc=")</f>
        <v>#REF!</v>
      </c>
      <c r="AO65" t="e">
        <f>AND(#REF!,"AAAAAHz67yg=")</f>
        <v>#REF!</v>
      </c>
      <c r="AP65" t="e">
        <f>IF(#REF!,"AAAAAHz67yk=",0)</f>
        <v>#REF!</v>
      </c>
      <c r="AQ65" t="e">
        <f>AND(#REF!,"AAAAAHz67yo=")</f>
        <v>#REF!</v>
      </c>
      <c r="AR65" t="e">
        <f>AND(#REF!,"AAAAAHz67ys=")</f>
        <v>#REF!</v>
      </c>
      <c r="AS65" t="e">
        <f>AND(#REF!,"AAAAAHz67yw=")</f>
        <v>#REF!</v>
      </c>
      <c r="AT65" t="e">
        <f>AND(#REF!,"AAAAAHz67y0=")</f>
        <v>#REF!</v>
      </c>
      <c r="AU65" t="e">
        <f>AND(#REF!,"AAAAAHz67y4=")</f>
        <v>#REF!</v>
      </c>
      <c r="AV65" t="e">
        <f>AND(#REF!,"AAAAAHz67y8=")</f>
        <v>#REF!</v>
      </c>
      <c r="AW65" t="e">
        <f>AND(#REF!,"AAAAAHz67zA=")</f>
        <v>#REF!</v>
      </c>
      <c r="AX65" t="e">
        <f>AND(#REF!,"AAAAAHz67zE=")</f>
        <v>#REF!</v>
      </c>
      <c r="AY65" t="e">
        <f>AND(#REF!,"AAAAAHz67zI=")</f>
        <v>#REF!</v>
      </c>
      <c r="AZ65" t="e">
        <f>AND(#REF!,"AAAAAHz67zM=")</f>
        <v>#REF!</v>
      </c>
      <c r="BA65" t="e">
        <f>AND(#REF!,"AAAAAHz67zQ=")</f>
        <v>#REF!</v>
      </c>
      <c r="BB65" t="e">
        <f>AND(#REF!,"AAAAAHz67zU=")</f>
        <v>#REF!</v>
      </c>
      <c r="BC65" t="e">
        <f>AND(#REF!,"AAAAAHz67zY=")</f>
        <v>#REF!</v>
      </c>
      <c r="BD65" t="e">
        <f>AND(#REF!,"AAAAAHz67zc=")</f>
        <v>#REF!</v>
      </c>
      <c r="BE65" t="e">
        <f>AND(#REF!,"AAAAAHz67zg=")</f>
        <v>#REF!</v>
      </c>
      <c r="BF65" t="e">
        <f>AND(#REF!,"AAAAAHz67zk=")</f>
        <v>#REF!</v>
      </c>
      <c r="BG65" t="e">
        <f>AND(#REF!,"AAAAAHz67zo=")</f>
        <v>#REF!</v>
      </c>
      <c r="BH65" t="e">
        <f>AND(#REF!,"AAAAAHz67zs=")</f>
        <v>#REF!</v>
      </c>
      <c r="BI65" t="e">
        <f>AND(#REF!,"AAAAAHz67zw=")</f>
        <v>#REF!</v>
      </c>
      <c r="BJ65" t="e">
        <f>AND(#REF!,"AAAAAHz67z0=")</f>
        <v>#REF!</v>
      </c>
      <c r="BK65" t="e">
        <f>AND(#REF!,"AAAAAHz67z4=")</f>
        <v>#REF!</v>
      </c>
      <c r="BL65" t="e">
        <f>AND(#REF!,"AAAAAHz67z8=")</f>
        <v>#REF!</v>
      </c>
      <c r="BM65" t="e">
        <f>AND(#REF!,"AAAAAHz670A=")</f>
        <v>#REF!</v>
      </c>
      <c r="BN65" t="e">
        <f>AND(#REF!,"AAAAAHz670E=")</f>
        <v>#REF!</v>
      </c>
      <c r="BO65" t="e">
        <f>AND(#REF!,"AAAAAHz670I=")</f>
        <v>#REF!</v>
      </c>
      <c r="BP65" t="e">
        <f>AND(#REF!,"AAAAAHz670M=")</f>
        <v>#REF!</v>
      </c>
      <c r="BQ65" t="e">
        <f>AND(#REF!,"AAAAAHz670Q=")</f>
        <v>#REF!</v>
      </c>
      <c r="BR65" t="e">
        <f>AND(#REF!,"AAAAAHz670U=")</f>
        <v>#REF!</v>
      </c>
      <c r="BS65" t="e">
        <f>AND(#REF!,"AAAAAHz670Y=")</f>
        <v>#REF!</v>
      </c>
      <c r="BT65" t="e">
        <f>AND(#REF!,"AAAAAHz670c=")</f>
        <v>#REF!</v>
      </c>
      <c r="BU65" t="e">
        <f>AND(#REF!,"AAAAAHz670g=")</f>
        <v>#REF!</v>
      </c>
      <c r="BV65" t="e">
        <f>AND(#REF!,"AAAAAHz670k=")</f>
        <v>#REF!</v>
      </c>
      <c r="BW65" t="e">
        <f>AND(#REF!,"AAAAAHz670o=")</f>
        <v>#REF!</v>
      </c>
      <c r="BX65" t="e">
        <f>AND(#REF!,"AAAAAHz670s=")</f>
        <v>#REF!</v>
      </c>
      <c r="BY65" t="e">
        <f>AND(#REF!,"AAAAAHz670w=")</f>
        <v>#REF!</v>
      </c>
      <c r="BZ65" t="e">
        <f>AND(#REF!,"AAAAAHz6700=")</f>
        <v>#REF!</v>
      </c>
      <c r="CA65" t="e">
        <f>AND(#REF!,"AAAAAHz6704=")</f>
        <v>#REF!</v>
      </c>
      <c r="CB65" t="e">
        <f>AND(#REF!,"AAAAAHz6708=")</f>
        <v>#REF!</v>
      </c>
      <c r="CC65" t="e">
        <f>AND(#REF!,"AAAAAHz671A=")</f>
        <v>#REF!</v>
      </c>
      <c r="CD65" t="e">
        <f>AND(#REF!,"AAAAAHz671E=")</f>
        <v>#REF!</v>
      </c>
      <c r="CE65" t="e">
        <f>AND(#REF!,"AAAAAHz671I=")</f>
        <v>#REF!</v>
      </c>
      <c r="CF65" t="e">
        <f>AND(#REF!,"AAAAAHz671M=")</f>
        <v>#REF!</v>
      </c>
      <c r="CG65" t="e">
        <f>AND(#REF!,"AAAAAHz671Q=")</f>
        <v>#REF!</v>
      </c>
      <c r="CH65" t="e">
        <f>AND(#REF!,"AAAAAHz671U=")</f>
        <v>#REF!</v>
      </c>
      <c r="CI65" t="e">
        <f>AND(#REF!,"AAAAAHz671Y=")</f>
        <v>#REF!</v>
      </c>
      <c r="CJ65" t="e">
        <f>AND(#REF!,"AAAAAHz671c=")</f>
        <v>#REF!</v>
      </c>
      <c r="CK65" t="e">
        <f>AND(#REF!,"AAAAAHz671g=")</f>
        <v>#REF!</v>
      </c>
      <c r="CL65" t="e">
        <f>AND(#REF!,"AAAAAHz671k=")</f>
        <v>#REF!</v>
      </c>
      <c r="CM65" t="e">
        <f>AND(#REF!,"AAAAAHz671o=")</f>
        <v>#REF!</v>
      </c>
      <c r="CN65" t="e">
        <f>AND(#REF!,"AAAAAHz671s=")</f>
        <v>#REF!</v>
      </c>
      <c r="CO65" t="e">
        <f>AND(#REF!,"AAAAAHz671w=")</f>
        <v>#REF!</v>
      </c>
      <c r="CP65" t="e">
        <f>AND(#REF!,"AAAAAHz6710=")</f>
        <v>#REF!</v>
      </c>
      <c r="CQ65" t="e">
        <f>AND(#REF!,"AAAAAHz6714=")</f>
        <v>#REF!</v>
      </c>
      <c r="CR65" t="e">
        <f>AND(#REF!,"AAAAAHz6718=")</f>
        <v>#REF!</v>
      </c>
      <c r="CS65" t="e">
        <f>AND(#REF!,"AAAAAHz672A=")</f>
        <v>#REF!</v>
      </c>
      <c r="CT65" t="e">
        <f>AND(#REF!,"AAAAAHz672E=")</f>
        <v>#REF!</v>
      </c>
      <c r="CU65" t="e">
        <f>AND(#REF!,"AAAAAHz672I=")</f>
        <v>#REF!</v>
      </c>
      <c r="CV65" t="e">
        <f>AND(#REF!,"AAAAAHz672M=")</f>
        <v>#REF!</v>
      </c>
      <c r="CW65" t="e">
        <f>AND(#REF!,"AAAAAHz672Q=")</f>
        <v>#REF!</v>
      </c>
      <c r="CX65" t="e">
        <f>AND(#REF!,"AAAAAHz672U=")</f>
        <v>#REF!</v>
      </c>
      <c r="CY65" t="e">
        <f>AND(#REF!,"AAAAAHz672Y=")</f>
        <v>#REF!</v>
      </c>
      <c r="CZ65" t="e">
        <f>AND(#REF!,"AAAAAHz672c=")</f>
        <v>#REF!</v>
      </c>
      <c r="DA65" t="e">
        <f>AND(#REF!,"AAAAAHz672g=")</f>
        <v>#REF!</v>
      </c>
      <c r="DB65" t="e">
        <f>AND(#REF!,"AAAAAHz672k=")</f>
        <v>#REF!</v>
      </c>
      <c r="DC65" t="e">
        <f>AND(#REF!,"AAAAAHz672o=")</f>
        <v>#REF!</v>
      </c>
      <c r="DD65" t="e">
        <f>AND(#REF!,"AAAAAHz672s=")</f>
        <v>#REF!</v>
      </c>
      <c r="DE65" t="e">
        <f>AND(#REF!,"AAAAAHz672w=")</f>
        <v>#REF!</v>
      </c>
      <c r="DF65" t="e">
        <f>AND(#REF!,"AAAAAHz6720=")</f>
        <v>#REF!</v>
      </c>
      <c r="DG65" t="e">
        <f>AND(#REF!,"AAAAAHz6724=")</f>
        <v>#REF!</v>
      </c>
      <c r="DH65" t="e">
        <f>AND(#REF!,"AAAAAHz6728=")</f>
        <v>#REF!</v>
      </c>
      <c r="DI65" t="e">
        <f>AND(#REF!,"AAAAAHz673A=")</f>
        <v>#REF!</v>
      </c>
      <c r="DJ65" t="e">
        <f>AND(#REF!,"AAAAAHz673E=")</f>
        <v>#REF!</v>
      </c>
      <c r="DK65" t="e">
        <f>AND(#REF!,"AAAAAHz673I=")</f>
        <v>#REF!</v>
      </c>
      <c r="DL65" t="e">
        <f>AND(#REF!,"AAAAAHz673M=")</f>
        <v>#REF!</v>
      </c>
      <c r="DM65" t="e">
        <f>IF(#REF!,"AAAAAHz673Q=",0)</f>
        <v>#REF!</v>
      </c>
      <c r="DN65" t="e">
        <f>AND(#REF!,"AAAAAHz673U=")</f>
        <v>#REF!</v>
      </c>
      <c r="DO65" t="e">
        <f>AND(#REF!,"AAAAAHz673Y=")</f>
        <v>#REF!</v>
      </c>
      <c r="DP65" t="e">
        <f>AND(#REF!,"AAAAAHz673c=")</f>
        <v>#REF!</v>
      </c>
      <c r="DQ65" t="e">
        <f>AND(#REF!,"AAAAAHz673g=")</f>
        <v>#REF!</v>
      </c>
      <c r="DR65" t="e">
        <f>AND(#REF!,"AAAAAHz673k=")</f>
        <v>#REF!</v>
      </c>
      <c r="DS65" t="e">
        <f>AND(#REF!,"AAAAAHz673o=")</f>
        <v>#REF!</v>
      </c>
      <c r="DT65" t="e">
        <f>AND(#REF!,"AAAAAHz673s=")</f>
        <v>#REF!</v>
      </c>
      <c r="DU65" t="e">
        <f>AND(#REF!,"AAAAAHz673w=")</f>
        <v>#REF!</v>
      </c>
      <c r="DV65" t="e">
        <f>AND(#REF!,"AAAAAHz6730=")</f>
        <v>#REF!</v>
      </c>
      <c r="DW65" t="e">
        <f>AND(#REF!,"AAAAAHz6734=")</f>
        <v>#REF!</v>
      </c>
      <c r="DX65" t="e">
        <f>AND(#REF!,"AAAAAHz6738=")</f>
        <v>#REF!</v>
      </c>
      <c r="DY65" t="e">
        <f>AND(#REF!,"AAAAAHz674A=")</f>
        <v>#REF!</v>
      </c>
      <c r="DZ65" t="e">
        <f>AND(#REF!,"AAAAAHz674E=")</f>
        <v>#REF!</v>
      </c>
      <c r="EA65" t="e">
        <f>AND(#REF!,"AAAAAHz674I=")</f>
        <v>#REF!</v>
      </c>
      <c r="EB65" t="e">
        <f>AND(#REF!,"AAAAAHz674M=")</f>
        <v>#REF!</v>
      </c>
      <c r="EC65" t="e">
        <f>AND(#REF!,"AAAAAHz674Q=")</f>
        <v>#REF!</v>
      </c>
      <c r="ED65" t="e">
        <f>AND(#REF!,"AAAAAHz674U=")</f>
        <v>#REF!</v>
      </c>
      <c r="EE65" t="e">
        <f>AND(#REF!,"AAAAAHz674Y=")</f>
        <v>#REF!</v>
      </c>
      <c r="EF65" t="e">
        <f>AND(#REF!,"AAAAAHz674c=")</f>
        <v>#REF!</v>
      </c>
      <c r="EG65" t="e">
        <f>AND(#REF!,"AAAAAHz674g=")</f>
        <v>#REF!</v>
      </c>
      <c r="EH65" t="e">
        <f>AND(#REF!,"AAAAAHz674k=")</f>
        <v>#REF!</v>
      </c>
      <c r="EI65" t="e">
        <f>AND(#REF!,"AAAAAHz674o=")</f>
        <v>#REF!</v>
      </c>
      <c r="EJ65" t="e">
        <f>AND(#REF!,"AAAAAHz674s=")</f>
        <v>#REF!</v>
      </c>
      <c r="EK65" t="e">
        <f>AND(#REF!,"AAAAAHz674w=")</f>
        <v>#REF!</v>
      </c>
      <c r="EL65" t="e">
        <f>AND(#REF!,"AAAAAHz6740=")</f>
        <v>#REF!</v>
      </c>
      <c r="EM65" t="e">
        <f>AND(#REF!,"AAAAAHz6744=")</f>
        <v>#REF!</v>
      </c>
      <c r="EN65" t="e">
        <f>AND(#REF!,"AAAAAHz6748=")</f>
        <v>#REF!</v>
      </c>
      <c r="EO65" t="e">
        <f>AND(#REF!,"AAAAAHz675A=")</f>
        <v>#REF!</v>
      </c>
      <c r="EP65" t="e">
        <f>AND(#REF!,"AAAAAHz675E=")</f>
        <v>#REF!</v>
      </c>
      <c r="EQ65" t="e">
        <f>AND(#REF!,"AAAAAHz675I=")</f>
        <v>#REF!</v>
      </c>
      <c r="ER65" t="e">
        <f>AND(#REF!,"AAAAAHz675M=")</f>
        <v>#REF!</v>
      </c>
      <c r="ES65" t="e">
        <f>AND(#REF!,"AAAAAHz675Q=")</f>
        <v>#REF!</v>
      </c>
      <c r="ET65" t="e">
        <f>AND(#REF!,"AAAAAHz675U=")</f>
        <v>#REF!</v>
      </c>
      <c r="EU65" t="e">
        <f>AND(#REF!,"AAAAAHz675Y=")</f>
        <v>#REF!</v>
      </c>
      <c r="EV65" t="e">
        <f>AND(#REF!,"AAAAAHz675c=")</f>
        <v>#REF!</v>
      </c>
      <c r="EW65" t="e">
        <f>AND(#REF!,"AAAAAHz675g=")</f>
        <v>#REF!</v>
      </c>
      <c r="EX65" t="e">
        <f>AND(#REF!,"AAAAAHz675k=")</f>
        <v>#REF!</v>
      </c>
      <c r="EY65" t="e">
        <f>AND(#REF!,"AAAAAHz675o=")</f>
        <v>#REF!</v>
      </c>
      <c r="EZ65" t="e">
        <f>AND(#REF!,"AAAAAHz675s=")</f>
        <v>#REF!</v>
      </c>
      <c r="FA65" t="e">
        <f>AND(#REF!,"AAAAAHz675w=")</f>
        <v>#REF!</v>
      </c>
      <c r="FB65" t="e">
        <f>AND(#REF!,"AAAAAHz6750=")</f>
        <v>#REF!</v>
      </c>
      <c r="FC65" t="e">
        <f>AND(#REF!,"AAAAAHz6754=")</f>
        <v>#REF!</v>
      </c>
      <c r="FD65" t="e">
        <f>AND(#REF!,"AAAAAHz6758=")</f>
        <v>#REF!</v>
      </c>
      <c r="FE65" t="e">
        <f>AND(#REF!,"AAAAAHz676A=")</f>
        <v>#REF!</v>
      </c>
      <c r="FF65" t="e">
        <f>AND(#REF!,"AAAAAHz676E=")</f>
        <v>#REF!</v>
      </c>
      <c r="FG65" t="e">
        <f>AND(#REF!,"AAAAAHz676I=")</f>
        <v>#REF!</v>
      </c>
      <c r="FH65" t="e">
        <f>AND(#REF!,"AAAAAHz676M=")</f>
        <v>#REF!</v>
      </c>
      <c r="FI65" t="e">
        <f>AND(#REF!,"AAAAAHz676Q=")</f>
        <v>#REF!</v>
      </c>
      <c r="FJ65" t="e">
        <f>AND(#REF!,"AAAAAHz676U=")</f>
        <v>#REF!</v>
      </c>
      <c r="FK65" t="e">
        <f>AND(#REF!,"AAAAAHz676Y=")</f>
        <v>#REF!</v>
      </c>
      <c r="FL65" t="e">
        <f>AND(#REF!,"AAAAAHz676c=")</f>
        <v>#REF!</v>
      </c>
      <c r="FM65" t="e">
        <f>AND(#REF!,"AAAAAHz676g=")</f>
        <v>#REF!</v>
      </c>
      <c r="FN65" t="e">
        <f>AND(#REF!,"AAAAAHz676k=")</f>
        <v>#REF!</v>
      </c>
      <c r="FO65" t="e">
        <f>AND(#REF!,"AAAAAHz676o=")</f>
        <v>#REF!</v>
      </c>
      <c r="FP65" t="e">
        <f>AND(#REF!,"AAAAAHz676s=")</f>
        <v>#REF!</v>
      </c>
      <c r="FQ65" t="e">
        <f>AND(#REF!,"AAAAAHz676w=")</f>
        <v>#REF!</v>
      </c>
      <c r="FR65" t="e">
        <f>AND(#REF!,"AAAAAHz6760=")</f>
        <v>#REF!</v>
      </c>
      <c r="FS65" t="e">
        <f>AND(#REF!,"AAAAAHz6764=")</f>
        <v>#REF!</v>
      </c>
      <c r="FT65" t="e">
        <f>AND(#REF!,"AAAAAHz6768=")</f>
        <v>#REF!</v>
      </c>
      <c r="FU65" t="e">
        <f>AND(#REF!,"AAAAAHz677A=")</f>
        <v>#REF!</v>
      </c>
      <c r="FV65" t="e">
        <f>AND(#REF!,"AAAAAHz677E=")</f>
        <v>#REF!</v>
      </c>
      <c r="FW65" t="e">
        <f>AND(#REF!,"AAAAAHz677I=")</f>
        <v>#REF!</v>
      </c>
      <c r="FX65" t="e">
        <f>AND(#REF!,"AAAAAHz677M=")</f>
        <v>#REF!</v>
      </c>
      <c r="FY65" t="e">
        <f>AND(#REF!,"AAAAAHz677Q=")</f>
        <v>#REF!</v>
      </c>
      <c r="FZ65" t="e">
        <f>AND(#REF!,"AAAAAHz677U=")</f>
        <v>#REF!</v>
      </c>
      <c r="GA65" t="e">
        <f>AND(#REF!,"AAAAAHz677Y=")</f>
        <v>#REF!</v>
      </c>
      <c r="GB65" t="e">
        <f>AND(#REF!,"AAAAAHz677c=")</f>
        <v>#REF!</v>
      </c>
      <c r="GC65" t="e">
        <f>AND(#REF!,"AAAAAHz677g=")</f>
        <v>#REF!</v>
      </c>
      <c r="GD65" t="e">
        <f>AND(#REF!,"AAAAAHz677k=")</f>
        <v>#REF!</v>
      </c>
      <c r="GE65" t="e">
        <f>AND(#REF!,"AAAAAHz677o=")</f>
        <v>#REF!</v>
      </c>
      <c r="GF65" t="e">
        <f>AND(#REF!,"AAAAAHz677s=")</f>
        <v>#REF!</v>
      </c>
      <c r="GG65" t="e">
        <f>AND(#REF!,"AAAAAHz677w=")</f>
        <v>#REF!</v>
      </c>
      <c r="GH65" t="e">
        <f>AND(#REF!,"AAAAAHz6770=")</f>
        <v>#REF!</v>
      </c>
      <c r="GI65" t="e">
        <f>AND(#REF!,"AAAAAHz6774=")</f>
        <v>#REF!</v>
      </c>
      <c r="GJ65" t="e">
        <f>IF(#REF!,"AAAAAHz6778=",0)</f>
        <v>#REF!</v>
      </c>
      <c r="GK65" t="e">
        <f>AND(#REF!,"AAAAAHz678A=")</f>
        <v>#REF!</v>
      </c>
      <c r="GL65" t="e">
        <f>AND(#REF!,"AAAAAHz678E=")</f>
        <v>#REF!</v>
      </c>
      <c r="GM65" t="e">
        <f>AND(#REF!,"AAAAAHz678I=")</f>
        <v>#REF!</v>
      </c>
      <c r="GN65" t="e">
        <f>AND(#REF!,"AAAAAHz678M=")</f>
        <v>#REF!</v>
      </c>
      <c r="GO65" t="e">
        <f>AND(#REF!,"AAAAAHz678Q=")</f>
        <v>#REF!</v>
      </c>
      <c r="GP65" t="e">
        <f>AND(#REF!,"AAAAAHz678U=")</f>
        <v>#REF!</v>
      </c>
      <c r="GQ65" t="e">
        <f>AND(#REF!,"AAAAAHz678Y=")</f>
        <v>#REF!</v>
      </c>
      <c r="GR65" t="e">
        <f>AND(#REF!,"AAAAAHz678c=")</f>
        <v>#REF!</v>
      </c>
      <c r="GS65" t="e">
        <f>AND(#REF!,"AAAAAHz678g=")</f>
        <v>#REF!</v>
      </c>
      <c r="GT65" t="e">
        <f>AND(#REF!,"AAAAAHz678k=")</f>
        <v>#REF!</v>
      </c>
      <c r="GU65" t="e">
        <f>AND(#REF!,"AAAAAHz678o=")</f>
        <v>#REF!</v>
      </c>
      <c r="GV65" t="e">
        <f>AND(#REF!,"AAAAAHz678s=")</f>
        <v>#REF!</v>
      </c>
      <c r="GW65" t="e">
        <f>AND(#REF!,"AAAAAHz678w=")</f>
        <v>#REF!</v>
      </c>
      <c r="GX65" t="e">
        <f>AND(#REF!,"AAAAAHz6780=")</f>
        <v>#REF!</v>
      </c>
      <c r="GY65" t="e">
        <f>AND(#REF!,"AAAAAHz6784=")</f>
        <v>#REF!</v>
      </c>
      <c r="GZ65" t="e">
        <f>AND(#REF!,"AAAAAHz6788=")</f>
        <v>#REF!</v>
      </c>
      <c r="HA65" t="e">
        <f>AND(#REF!,"AAAAAHz679A=")</f>
        <v>#REF!</v>
      </c>
      <c r="HB65" t="e">
        <f>AND(#REF!,"AAAAAHz679E=")</f>
        <v>#REF!</v>
      </c>
      <c r="HC65" t="e">
        <f>AND(#REF!,"AAAAAHz679I=")</f>
        <v>#REF!</v>
      </c>
      <c r="HD65" t="e">
        <f>AND(#REF!,"AAAAAHz679M=")</f>
        <v>#REF!</v>
      </c>
      <c r="HE65" t="e">
        <f>AND(#REF!,"AAAAAHz679Q=")</f>
        <v>#REF!</v>
      </c>
      <c r="HF65" t="e">
        <f>AND(#REF!,"AAAAAHz679U=")</f>
        <v>#REF!</v>
      </c>
      <c r="HG65" t="e">
        <f>AND(#REF!,"AAAAAHz679Y=")</f>
        <v>#REF!</v>
      </c>
      <c r="HH65" t="e">
        <f>AND(#REF!,"AAAAAHz679c=")</f>
        <v>#REF!</v>
      </c>
      <c r="HI65" t="e">
        <f>AND(#REF!,"AAAAAHz679g=")</f>
        <v>#REF!</v>
      </c>
      <c r="HJ65" t="e">
        <f>AND(#REF!,"AAAAAHz679k=")</f>
        <v>#REF!</v>
      </c>
      <c r="HK65" t="e">
        <f>AND(#REF!,"AAAAAHz679o=")</f>
        <v>#REF!</v>
      </c>
      <c r="HL65" t="e">
        <f>AND(#REF!,"AAAAAHz679s=")</f>
        <v>#REF!</v>
      </c>
      <c r="HM65" t="e">
        <f>AND(#REF!,"AAAAAHz679w=")</f>
        <v>#REF!</v>
      </c>
      <c r="HN65" t="e">
        <f>AND(#REF!,"AAAAAHz6790=")</f>
        <v>#REF!</v>
      </c>
      <c r="HO65" t="e">
        <f>AND(#REF!,"AAAAAHz6794=")</f>
        <v>#REF!</v>
      </c>
      <c r="HP65" t="e">
        <f>AND(#REF!,"AAAAAHz6798=")</f>
        <v>#REF!</v>
      </c>
      <c r="HQ65" t="e">
        <f>AND(#REF!,"AAAAAHz67+A=")</f>
        <v>#REF!</v>
      </c>
      <c r="HR65" t="e">
        <f>AND(#REF!,"AAAAAHz67+E=")</f>
        <v>#REF!</v>
      </c>
      <c r="HS65" t="e">
        <f>AND(#REF!,"AAAAAHz67+I=")</f>
        <v>#REF!</v>
      </c>
      <c r="HT65" t="e">
        <f>AND(#REF!,"AAAAAHz67+M=")</f>
        <v>#REF!</v>
      </c>
      <c r="HU65" t="e">
        <f>AND(#REF!,"AAAAAHz67+Q=")</f>
        <v>#REF!</v>
      </c>
      <c r="HV65" t="e">
        <f>AND(#REF!,"AAAAAHz67+U=")</f>
        <v>#REF!</v>
      </c>
      <c r="HW65" t="e">
        <f>AND(#REF!,"AAAAAHz67+Y=")</f>
        <v>#REF!</v>
      </c>
      <c r="HX65" t="e">
        <f>AND(#REF!,"AAAAAHz67+c=")</f>
        <v>#REF!</v>
      </c>
      <c r="HY65" t="e">
        <f>AND(#REF!,"AAAAAHz67+g=")</f>
        <v>#REF!</v>
      </c>
      <c r="HZ65" t="e">
        <f>AND(#REF!,"AAAAAHz67+k=")</f>
        <v>#REF!</v>
      </c>
      <c r="IA65" t="e">
        <f>AND(#REF!,"AAAAAHz67+o=")</f>
        <v>#REF!</v>
      </c>
      <c r="IB65" t="e">
        <f>AND(#REF!,"AAAAAHz67+s=")</f>
        <v>#REF!</v>
      </c>
      <c r="IC65" t="e">
        <f>AND(#REF!,"AAAAAHz67+w=")</f>
        <v>#REF!</v>
      </c>
      <c r="ID65" t="e">
        <f>AND(#REF!,"AAAAAHz67+0=")</f>
        <v>#REF!</v>
      </c>
      <c r="IE65" t="e">
        <f>AND(#REF!,"AAAAAHz67+4=")</f>
        <v>#REF!</v>
      </c>
      <c r="IF65" t="e">
        <f>AND(#REF!,"AAAAAHz67+8=")</f>
        <v>#REF!</v>
      </c>
      <c r="IG65" t="e">
        <f>AND(#REF!,"AAAAAHz67/A=")</f>
        <v>#REF!</v>
      </c>
      <c r="IH65" t="e">
        <f>AND(#REF!,"AAAAAHz67/E=")</f>
        <v>#REF!</v>
      </c>
      <c r="II65" t="e">
        <f>AND(#REF!,"AAAAAHz67/I=")</f>
        <v>#REF!</v>
      </c>
      <c r="IJ65" t="e">
        <f>AND(#REF!,"AAAAAHz67/M=")</f>
        <v>#REF!</v>
      </c>
      <c r="IK65" t="e">
        <f>AND(#REF!,"AAAAAHz67/Q=")</f>
        <v>#REF!</v>
      </c>
      <c r="IL65" t="e">
        <f>AND(#REF!,"AAAAAHz67/U=")</f>
        <v>#REF!</v>
      </c>
      <c r="IM65" t="e">
        <f>AND(#REF!,"AAAAAHz67/Y=")</f>
        <v>#REF!</v>
      </c>
      <c r="IN65" t="e">
        <f>AND(#REF!,"AAAAAHz67/c=")</f>
        <v>#REF!</v>
      </c>
      <c r="IO65" t="e">
        <f>AND(#REF!,"AAAAAHz67/g=")</f>
        <v>#REF!</v>
      </c>
      <c r="IP65" t="e">
        <f>AND(#REF!,"AAAAAHz67/k=")</f>
        <v>#REF!</v>
      </c>
      <c r="IQ65" t="e">
        <f>AND(#REF!,"AAAAAHz67/o=")</f>
        <v>#REF!</v>
      </c>
      <c r="IR65" t="e">
        <f>AND(#REF!,"AAAAAHz67/s=")</f>
        <v>#REF!</v>
      </c>
      <c r="IS65" t="e">
        <f>AND(#REF!,"AAAAAHz67/w=")</f>
        <v>#REF!</v>
      </c>
      <c r="IT65" t="e">
        <f>AND(#REF!,"AAAAAHz67/0=")</f>
        <v>#REF!</v>
      </c>
      <c r="IU65" t="e">
        <f>AND(#REF!,"AAAAAHz67/4=")</f>
        <v>#REF!</v>
      </c>
      <c r="IV65" t="e">
        <f>AND(#REF!,"AAAAAHz67/8=")</f>
        <v>#REF!</v>
      </c>
    </row>
    <row r="66" spans="1:256" x14ac:dyDescent="0.2">
      <c r="A66" t="e">
        <f>AND(#REF!,"AAAAAATq/wA=")</f>
        <v>#REF!</v>
      </c>
      <c r="B66" t="e">
        <f>AND(#REF!,"AAAAAATq/wE=")</f>
        <v>#REF!</v>
      </c>
      <c r="C66" t="e">
        <f>AND(#REF!,"AAAAAATq/wI=")</f>
        <v>#REF!</v>
      </c>
      <c r="D66" t="e">
        <f>AND(#REF!,"AAAAAATq/wM=")</f>
        <v>#REF!</v>
      </c>
      <c r="E66" t="e">
        <f>AND(#REF!,"AAAAAATq/wQ=")</f>
        <v>#REF!</v>
      </c>
      <c r="F66" t="e">
        <f>AND(#REF!,"AAAAAATq/wU=")</f>
        <v>#REF!</v>
      </c>
      <c r="G66" t="e">
        <f>AND(#REF!,"AAAAAATq/wY=")</f>
        <v>#REF!</v>
      </c>
      <c r="H66" t="e">
        <f>AND(#REF!,"AAAAAATq/wc=")</f>
        <v>#REF!</v>
      </c>
      <c r="I66" t="e">
        <f>AND(#REF!,"AAAAAATq/wg=")</f>
        <v>#REF!</v>
      </c>
      <c r="J66" t="e">
        <f>AND(#REF!,"AAAAAATq/wk=")</f>
        <v>#REF!</v>
      </c>
      <c r="K66" t="e">
        <f>IF(#REF!,"AAAAAATq/wo=",0)</f>
        <v>#REF!</v>
      </c>
      <c r="L66" t="e">
        <f>AND(#REF!,"AAAAAATq/ws=")</f>
        <v>#REF!</v>
      </c>
      <c r="M66" t="e">
        <f>AND(#REF!,"AAAAAATq/ww=")</f>
        <v>#REF!</v>
      </c>
      <c r="N66" t="e">
        <f>AND(#REF!,"AAAAAATq/w0=")</f>
        <v>#REF!</v>
      </c>
      <c r="O66" t="e">
        <f>AND(#REF!,"AAAAAATq/w4=")</f>
        <v>#REF!</v>
      </c>
      <c r="P66" t="e">
        <f>AND(#REF!,"AAAAAATq/w8=")</f>
        <v>#REF!</v>
      </c>
      <c r="Q66" t="e">
        <f>AND(#REF!,"AAAAAATq/xA=")</f>
        <v>#REF!</v>
      </c>
      <c r="R66" t="e">
        <f>AND(#REF!,"AAAAAATq/xE=")</f>
        <v>#REF!</v>
      </c>
      <c r="S66" t="e">
        <f>AND(#REF!,"AAAAAATq/xI=")</f>
        <v>#REF!</v>
      </c>
      <c r="T66" t="e">
        <f>AND(#REF!,"AAAAAATq/xM=")</f>
        <v>#REF!</v>
      </c>
      <c r="U66" t="e">
        <f>AND(#REF!,"AAAAAATq/xQ=")</f>
        <v>#REF!</v>
      </c>
      <c r="V66" t="e">
        <f>AND(#REF!,"AAAAAATq/xU=")</f>
        <v>#REF!</v>
      </c>
      <c r="W66" t="e">
        <f>AND(#REF!,"AAAAAATq/xY=")</f>
        <v>#REF!</v>
      </c>
      <c r="X66" t="e">
        <f>AND(#REF!,"AAAAAATq/xc=")</f>
        <v>#REF!</v>
      </c>
      <c r="Y66" t="e">
        <f>AND(#REF!,"AAAAAATq/xg=")</f>
        <v>#REF!</v>
      </c>
      <c r="Z66" t="e">
        <f>AND(#REF!,"AAAAAATq/xk=")</f>
        <v>#REF!</v>
      </c>
      <c r="AA66" t="e">
        <f>AND(#REF!,"AAAAAATq/xo=")</f>
        <v>#REF!</v>
      </c>
      <c r="AB66" t="e">
        <f>AND(#REF!,"AAAAAATq/xs=")</f>
        <v>#REF!</v>
      </c>
      <c r="AC66" t="e">
        <f>AND(#REF!,"AAAAAATq/xw=")</f>
        <v>#REF!</v>
      </c>
      <c r="AD66" t="e">
        <f>AND(#REF!,"AAAAAATq/x0=")</f>
        <v>#REF!</v>
      </c>
      <c r="AE66" t="e">
        <f>AND(#REF!,"AAAAAATq/x4=")</f>
        <v>#REF!</v>
      </c>
      <c r="AF66" t="e">
        <f>AND(#REF!,"AAAAAATq/x8=")</f>
        <v>#REF!</v>
      </c>
      <c r="AG66" t="e">
        <f>AND(#REF!,"AAAAAATq/yA=")</f>
        <v>#REF!</v>
      </c>
      <c r="AH66" t="e">
        <f>AND(#REF!,"AAAAAATq/yE=")</f>
        <v>#REF!</v>
      </c>
      <c r="AI66" t="e">
        <f>AND(#REF!,"AAAAAATq/yI=")</f>
        <v>#REF!</v>
      </c>
      <c r="AJ66" t="e">
        <f>AND(#REF!,"AAAAAATq/yM=")</f>
        <v>#REF!</v>
      </c>
      <c r="AK66" t="e">
        <f>AND(#REF!,"AAAAAATq/yQ=")</f>
        <v>#REF!</v>
      </c>
      <c r="AL66" t="e">
        <f>AND(#REF!,"AAAAAATq/yU=")</f>
        <v>#REF!</v>
      </c>
      <c r="AM66" t="e">
        <f>AND(#REF!,"AAAAAATq/yY=")</f>
        <v>#REF!</v>
      </c>
      <c r="AN66" t="e">
        <f>AND(#REF!,"AAAAAATq/yc=")</f>
        <v>#REF!</v>
      </c>
      <c r="AO66" t="e">
        <f>AND(#REF!,"AAAAAATq/yg=")</f>
        <v>#REF!</v>
      </c>
      <c r="AP66" t="e">
        <f>AND(#REF!,"AAAAAATq/yk=")</f>
        <v>#REF!</v>
      </c>
      <c r="AQ66" t="e">
        <f>AND(#REF!,"AAAAAATq/yo=")</f>
        <v>#REF!</v>
      </c>
      <c r="AR66" t="e">
        <f>AND(#REF!,"AAAAAATq/ys=")</f>
        <v>#REF!</v>
      </c>
      <c r="AS66" t="e">
        <f>AND(#REF!,"AAAAAATq/yw=")</f>
        <v>#REF!</v>
      </c>
      <c r="AT66" t="e">
        <f>AND(#REF!,"AAAAAATq/y0=")</f>
        <v>#REF!</v>
      </c>
      <c r="AU66" t="e">
        <f>AND(#REF!,"AAAAAATq/y4=")</f>
        <v>#REF!</v>
      </c>
      <c r="AV66" t="e">
        <f>AND(#REF!,"AAAAAATq/y8=")</f>
        <v>#REF!</v>
      </c>
      <c r="AW66" t="e">
        <f>AND(#REF!,"AAAAAATq/zA=")</f>
        <v>#REF!</v>
      </c>
      <c r="AX66" t="e">
        <f>AND(#REF!,"AAAAAATq/zE=")</f>
        <v>#REF!</v>
      </c>
      <c r="AY66" t="e">
        <f>AND(#REF!,"AAAAAATq/zI=")</f>
        <v>#REF!</v>
      </c>
      <c r="AZ66" t="e">
        <f>AND(#REF!,"AAAAAATq/zM=")</f>
        <v>#REF!</v>
      </c>
      <c r="BA66" t="e">
        <f>AND(#REF!,"AAAAAATq/zQ=")</f>
        <v>#REF!</v>
      </c>
      <c r="BB66" t="e">
        <f>AND(#REF!,"AAAAAATq/zU=")</f>
        <v>#REF!</v>
      </c>
      <c r="BC66" t="e">
        <f>AND(#REF!,"AAAAAATq/zY=")</f>
        <v>#REF!</v>
      </c>
      <c r="BD66" t="e">
        <f>AND(#REF!,"AAAAAATq/zc=")</f>
        <v>#REF!</v>
      </c>
      <c r="BE66" t="e">
        <f>AND(#REF!,"AAAAAATq/zg=")</f>
        <v>#REF!</v>
      </c>
      <c r="BF66" t="e">
        <f>AND(#REF!,"AAAAAATq/zk=")</f>
        <v>#REF!</v>
      </c>
      <c r="BG66" t="e">
        <f>AND(#REF!,"AAAAAATq/zo=")</f>
        <v>#REF!</v>
      </c>
      <c r="BH66" t="e">
        <f>AND(#REF!,"AAAAAATq/zs=")</f>
        <v>#REF!</v>
      </c>
      <c r="BI66" t="e">
        <f>AND(#REF!,"AAAAAATq/zw=")</f>
        <v>#REF!</v>
      </c>
      <c r="BJ66" t="e">
        <f>AND(#REF!,"AAAAAATq/z0=")</f>
        <v>#REF!</v>
      </c>
      <c r="BK66" t="e">
        <f>AND(#REF!,"AAAAAATq/z4=")</f>
        <v>#REF!</v>
      </c>
      <c r="BL66" t="e">
        <f>AND(#REF!,"AAAAAATq/z8=")</f>
        <v>#REF!</v>
      </c>
      <c r="BM66" t="e">
        <f>AND(#REF!,"AAAAAATq/0A=")</f>
        <v>#REF!</v>
      </c>
      <c r="BN66" t="e">
        <f>AND(#REF!,"AAAAAATq/0E=")</f>
        <v>#REF!</v>
      </c>
      <c r="BO66" t="e">
        <f>AND(#REF!,"AAAAAATq/0I=")</f>
        <v>#REF!</v>
      </c>
      <c r="BP66" t="e">
        <f>AND(#REF!,"AAAAAATq/0M=")</f>
        <v>#REF!</v>
      </c>
      <c r="BQ66" t="e">
        <f>AND(#REF!,"AAAAAATq/0Q=")</f>
        <v>#REF!</v>
      </c>
      <c r="BR66" t="e">
        <f>AND(#REF!,"AAAAAATq/0U=")</f>
        <v>#REF!</v>
      </c>
      <c r="BS66" t="e">
        <f>AND(#REF!,"AAAAAATq/0Y=")</f>
        <v>#REF!</v>
      </c>
      <c r="BT66" t="e">
        <f>AND(#REF!,"AAAAAATq/0c=")</f>
        <v>#REF!</v>
      </c>
      <c r="BU66" t="e">
        <f>AND(#REF!,"AAAAAATq/0g=")</f>
        <v>#REF!</v>
      </c>
      <c r="BV66" t="e">
        <f>AND(#REF!,"AAAAAATq/0k=")</f>
        <v>#REF!</v>
      </c>
      <c r="BW66" t="e">
        <f>AND(#REF!,"AAAAAATq/0o=")</f>
        <v>#REF!</v>
      </c>
      <c r="BX66" t="e">
        <f>AND(#REF!,"AAAAAATq/0s=")</f>
        <v>#REF!</v>
      </c>
      <c r="BY66" t="e">
        <f>AND(#REF!,"AAAAAATq/0w=")</f>
        <v>#REF!</v>
      </c>
      <c r="BZ66" t="e">
        <f>AND(#REF!,"AAAAAATq/00=")</f>
        <v>#REF!</v>
      </c>
      <c r="CA66" t="e">
        <f>AND(#REF!,"AAAAAATq/04=")</f>
        <v>#REF!</v>
      </c>
      <c r="CB66" t="e">
        <f>AND(#REF!,"AAAAAATq/08=")</f>
        <v>#REF!</v>
      </c>
      <c r="CC66" t="e">
        <f>AND(#REF!,"AAAAAATq/1A=")</f>
        <v>#REF!</v>
      </c>
      <c r="CD66" t="e">
        <f>AND(#REF!,"AAAAAATq/1E=")</f>
        <v>#REF!</v>
      </c>
      <c r="CE66" t="e">
        <f>AND(#REF!,"AAAAAATq/1I=")</f>
        <v>#REF!</v>
      </c>
      <c r="CF66" t="e">
        <f>AND(#REF!,"AAAAAATq/1M=")</f>
        <v>#REF!</v>
      </c>
      <c r="CG66" t="e">
        <f>AND(#REF!,"AAAAAATq/1Q=")</f>
        <v>#REF!</v>
      </c>
      <c r="CH66" t="e">
        <f>IF(#REF!,"AAAAAATq/1U=",0)</f>
        <v>#REF!</v>
      </c>
      <c r="CI66" t="e">
        <f>AND(#REF!,"AAAAAATq/1Y=")</f>
        <v>#REF!</v>
      </c>
      <c r="CJ66" t="e">
        <f>AND(#REF!,"AAAAAATq/1c=")</f>
        <v>#REF!</v>
      </c>
      <c r="CK66" t="e">
        <f>AND(#REF!,"AAAAAATq/1g=")</f>
        <v>#REF!</v>
      </c>
      <c r="CL66" t="e">
        <f>AND(#REF!,"AAAAAATq/1k=")</f>
        <v>#REF!</v>
      </c>
      <c r="CM66" t="e">
        <f>AND(#REF!,"AAAAAATq/1o=")</f>
        <v>#REF!</v>
      </c>
      <c r="CN66" t="e">
        <f>AND(#REF!,"AAAAAATq/1s=")</f>
        <v>#REF!</v>
      </c>
      <c r="CO66" t="e">
        <f>AND(#REF!,"AAAAAATq/1w=")</f>
        <v>#REF!</v>
      </c>
      <c r="CP66" t="e">
        <f>AND(#REF!,"AAAAAATq/10=")</f>
        <v>#REF!</v>
      </c>
      <c r="CQ66" t="e">
        <f>AND(#REF!,"AAAAAATq/14=")</f>
        <v>#REF!</v>
      </c>
      <c r="CR66" t="e">
        <f>AND(#REF!,"AAAAAATq/18=")</f>
        <v>#REF!</v>
      </c>
      <c r="CS66" t="e">
        <f>AND(#REF!,"AAAAAATq/2A=")</f>
        <v>#REF!</v>
      </c>
      <c r="CT66" t="e">
        <f>AND(#REF!,"AAAAAATq/2E=")</f>
        <v>#REF!</v>
      </c>
      <c r="CU66" t="e">
        <f>AND(#REF!,"AAAAAATq/2I=")</f>
        <v>#REF!</v>
      </c>
      <c r="CV66" t="e">
        <f>AND(#REF!,"AAAAAATq/2M=")</f>
        <v>#REF!</v>
      </c>
      <c r="CW66" t="e">
        <f>AND(#REF!,"AAAAAATq/2Q=")</f>
        <v>#REF!</v>
      </c>
      <c r="CX66" t="e">
        <f>AND(#REF!,"AAAAAATq/2U=")</f>
        <v>#REF!</v>
      </c>
      <c r="CY66" t="e">
        <f>AND(#REF!,"AAAAAATq/2Y=")</f>
        <v>#REF!</v>
      </c>
      <c r="CZ66" t="e">
        <f>AND(#REF!,"AAAAAATq/2c=")</f>
        <v>#REF!</v>
      </c>
      <c r="DA66" t="e">
        <f>AND(#REF!,"AAAAAATq/2g=")</f>
        <v>#REF!</v>
      </c>
      <c r="DB66" t="e">
        <f>AND(#REF!,"AAAAAATq/2k=")</f>
        <v>#REF!</v>
      </c>
      <c r="DC66" t="e">
        <f>AND(#REF!,"AAAAAATq/2o=")</f>
        <v>#REF!</v>
      </c>
      <c r="DD66" t="e">
        <f>AND(#REF!,"AAAAAATq/2s=")</f>
        <v>#REF!</v>
      </c>
      <c r="DE66" t="e">
        <f>AND(#REF!,"AAAAAATq/2w=")</f>
        <v>#REF!</v>
      </c>
      <c r="DF66" t="e">
        <f>AND(#REF!,"AAAAAATq/20=")</f>
        <v>#REF!</v>
      </c>
      <c r="DG66" t="e">
        <f>AND(#REF!,"AAAAAATq/24=")</f>
        <v>#REF!</v>
      </c>
      <c r="DH66" t="e">
        <f>AND(#REF!,"AAAAAATq/28=")</f>
        <v>#REF!</v>
      </c>
      <c r="DI66" t="e">
        <f>AND(#REF!,"AAAAAATq/3A=")</f>
        <v>#REF!</v>
      </c>
      <c r="DJ66" t="e">
        <f>AND(#REF!,"AAAAAATq/3E=")</f>
        <v>#REF!</v>
      </c>
      <c r="DK66" t="e">
        <f>AND(#REF!,"AAAAAATq/3I=")</f>
        <v>#REF!</v>
      </c>
      <c r="DL66" t="e">
        <f>AND(#REF!,"AAAAAATq/3M=")</f>
        <v>#REF!</v>
      </c>
      <c r="DM66" t="e">
        <f>AND(#REF!,"AAAAAATq/3Q=")</f>
        <v>#REF!</v>
      </c>
      <c r="DN66" t="e">
        <f>AND(#REF!,"AAAAAATq/3U=")</f>
        <v>#REF!</v>
      </c>
      <c r="DO66" t="e">
        <f>AND(#REF!,"AAAAAATq/3Y=")</f>
        <v>#REF!</v>
      </c>
      <c r="DP66" t="e">
        <f>AND(#REF!,"AAAAAATq/3c=")</f>
        <v>#REF!</v>
      </c>
      <c r="DQ66" t="e">
        <f>AND(#REF!,"AAAAAATq/3g=")</f>
        <v>#REF!</v>
      </c>
      <c r="DR66" t="e">
        <f>AND(#REF!,"AAAAAATq/3k=")</f>
        <v>#REF!</v>
      </c>
      <c r="DS66" t="e">
        <f>AND(#REF!,"AAAAAATq/3o=")</f>
        <v>#REF!</v>
      </c>
      <c r="DT66" t="e">
        <f>AND(#REF!,"AAAAAATq/3s=")</f>
        <v>#REF!</v>
      </c>
      <c r="DU66" t="e">
        <f>AND(#REF!,"AAAAAATq/3w=")</f>
        <v>#REF!</v>
      </c>
      <c r="DV66" t="e">
        <f>AND(#REF!,"AAAAAATq/30=")</f>
        <v>#REF!</v>
      </c>
      <c r="DW66" t="e">
        <f>AND(#REF!,"AAAAAATq/34=")</f>
        <v>#REF!</v>
      </c>
      <c r="DX66" t="e">
        <f>AND(#REF!,"AAAAAATq/38=")</f>
        <v>#REF!</v>
      </c>
      <c r="DY66" t="e">
        <f>AND(#REF!,"AAAAAATq/4A=")</f>
        <v>#REF!</v>
      </c>
      <c r="DZ66" t="e">
        <f>AND(#REF!,"AAAAAATq/4E=")</f>
        <v>#REF!</v>
      </c>
      <c r="EA66" t="e">
        <f>AND(#REF!,"AAAAAATq/4I=")</f>
        <v>#REF!</v>
      </c>
      <c r="EB66" t="e">
        <f>AND(#REF!,"AAAAAATq/4M=")</f>
        <v>#REF!</v>
      </c>
      <c r="EC66" t="e">
        <f>AND(#REF!,"AAAAAATq/4Q=")</f>
        <v>#REF!</v>
      </c>
      <c r="ED66" t="e">
        <f>AND(#REF!,"AAAAAATq/4U=")</f>
        <v>#REF!</v>
      </c>
      <c r="EE66" t="e">
        <f>AND(#REF!,"AAAAAATq/4Y=")</f>
        <v>#REF!</v>
      </c>
      <c r="EF66" t="e">
        <f>AND(#REF!,"AAAAAATq/4c=")</f>
        <v>#REF!</v>
      </c>
      <c r="EG66" t="e">
        <f>AND(#REF!,"AAAAAATq/4g=")</f>
        <v>#REF!</v>
      </c>
      <c r="EH66" t="e">
        <f>AND(#REF!,"AAAAAATq/4k=")</f>
        <v>#REF!</v>
      </c>
      <c r="EI66" t="e">
        <f>AND(#REF!,"AAAAAATq/4o=")</f>
        <v>#REF!</v>
      </c>
      <c r="EJ66" t="e">
        <f>AND(#REF!,"AAAAAATq/4s=")</f>
        <v>#REF!</v>
      </c>
      <c r="EK66" t="e">
        <f>AND(#REF!,"AAAAAATq/4w=")</f>
        <v>#REF!</v>
      </c>
      <c r="EL66" t="e">
        <f>AND(#REF!,"AAAAAATq/40=")</f>
        <v>#REF!</v>
      </c>
      <c r="EM66" t="e">
        <f>AND(#REF!,"AAAAAATq/44=")</f>
        <v>#REF!</v>
      </c>
      <c r="EN66" t="e">
        <f>AND(#REF!,"AAAAAATq/48=")</f>
        <v>#REF!</v>
      </c>
      <c r="EO66" t="e">
        <f>AND(#REF!,"AAAAAATq/5A=")</f>
        <v>#REF!</v>
      </c>
      <c r="EP66" t="e">
        <f>AND(#REF!,"AAAAAATq/5E=")</f>
        <v>#REF!</v>
      </c>
      <c r="EQ66" t="e">
        <f>AND(#REF!,"AAAAAATq/5I=")</f>
        <v>#REF!</v>
      </c>
      <c r="ER66" t="e">
        <f>AND(#REF!,"AAAAAATq/5M=")</f>
        <v>#REF!</v>
      </c>
      <c r="ES66" t="e">
        <f>AND(#REF!,"AAAAAATq/5Q=")</f>
        <v>#REF!</v>
      </c>
      <c r="ET66" t="e">
        <f>AND(#REF!,"AAAAAATq/5U=")</f>
        <v>#REF!</v>
      </c>
      <c r="EU66" t="e">
        <f>AND(#REF!,"AAAAAATq/5Y=")</f>
        <v>#REF!</v>
      </c>
      <c r="EV66" t="e">
        <f>AND(#REF!,"AAAAAATq/5c=")</f>
        <v>#REF!</v>
      </c>
      <c r="EW66" t="e">
        <f>AND(#REF!,"AAAAAATq/5g=")</f>
        <v>#REF!</v>
      </c>
      <c r="EX66" t="e">
        <f>AND(#REF!,"AAAAAATq/5k=")</f>
        <v>#REF!</v>
      </c>
      <c r="EY66" t="e">
        <f>AND(#REF!,"AAAAAATq/5o=")</f>
        <v>#REF!</v>
      </c>
      <c r="EZ66" t="e">
        <f>AND(#REF!,"AAAAAATq/5s=")</f>
        <v>#REF!</v>
      </c>
      <c r="FA66" t="e">
        <f>AND(#REF!,"AAAAAATq/5w=")</f>
        <v>#REF!</v>
      </c>
      <c r="FB66" t="e">
        <f>AND(#REF!,"AAAAAATq/50=")</f>
        <v>#REF!</v>
      </c>
      <c r="FC66" t="e">
        <f>AND(#REF!,"AAAAAATq/54=")</f>
        <v>#REF!</v>
      </c>
      <c r="FD66" t="e">
        <f>AND(#REF!,"AAAAAATq/58=")</f>
        <v>#REF!</v>
      </c>
      <c r="FE66" t="e">
        <f>IF(#REF!,"AAAAAATq/6A=",0)</f>
        <v>#REF!</v>
      </c>
      <c r="FF66" t="e">
        <f>AND(#REF!,"AAAAAATq/6E=")</f>
        <v>#REF!</v>
      </c>
      <c r="FG66" t="e">
        <f>AND(#REF!,"AAAAAATq/6I=")</f>
        <v>#REF!</v>
      </c>
      <c r="FH66" t="e">
        <f>AND(#REF!,"AAAAAATq/6M=")</f>
        <v>#REF!</v>
      </c>
      <c r="FI66" t="e">
        <f>AND(#REF!,"AAAAAATq/6Q=")</f>
        <v>#REF!</v>
      </c>
      <c r="FJ66" t="e">
        <f>AND(#REF!,"AAAAAATq/6U=")</f>
        <v>#REF!</v>
      </c>
      <c r="FK66" t="e">
        <f>AND(#REF!,"AAAAAATq/6Y=")</f>
        <v>#REF!</v>
      </c>
      <c r="FL66" t="e">
        <f>AND(#REF!,"AAAAAATq/6c=")</f>
        <v>#REF!</v>
      </c>
      <c r="FM66" t="e">
        <f>AND(#REF!,"AAAAAATq/6g=")</f>
        <v>#REF!</v>
      </c>
      <c r="FN66" t="e">
        <f>AND(#REF!,"AAAAAATq/6k=")</f>
        <v>#REF!</v>
      </c>
      <c r="FO66" t="e">
        <f>AND(#REF!,"AAAAAATq/6o=")</f>
        <v>#REF!</v>
      </c>
      <c r="FP66" t="e">
        <f>AND(#REF!,"AAAAAATq/6s=")</f>
        <v>#REF!</v>
      </c>
      <c r="FQ66" t="e">
        <f>AND(#REF!,"AAAAAATq/6w=")</f>
        <v>#REF!</v>
      </c>
      <c r="FR66" t="e">
        <f>AND(#REF!,"AAAAAATq/60=")</f>
        <v>#REF!</v>
      </c>
      <c r="FS66" t="e">
        <f>AND(#REF!,"AAAAAATq/64=")</f>
        <v>#REF!</v>
      </c>
      <c r="FT66" t="e">
        <f>AND(#REF!,"AAAAAATq/68=")</f>
        <v>#REF!</v>
      </c>
      <c r="FU66" t="e">
        <f>AND(#REF!,"AAAAAATq/7A=")</f>
        <v>#REF!</v>
      </c>
      <c r="FV66" t="e">
        <f>AND(#REF!,"AAAAAATq/7E=")</f>
        <v>#REF!</v>
      </c>
      <c r="FW66" t="e">
        <f>AND(#REF!,"AAAAAATq/7I=")</f>
        <v>#REF!</v>
      </c>
      <c r="FX66" t="e">
        <f>AND(#REF!,"AAAAAATq/7M=")</f>
        <v>#REF!</v>
      </c>
      <c r="FY66" t="e">
        <f>AND(#REF!,"AAAAAATq/7Q=")</f>
        <v>#REF!</v>
      </c>
      <c r="FZ66" t="e">
        <f>AND(#REF!,"AAAAAATq/7U=")</f>
        <v>#REF!</v>
      </c>
      <c r="GA66" t="e">
        <f>AND(#REF!,"AAAAAATq/7Y=")</f>
        <v>#REF!</v>
      </c>
      <c r="GB66" t="e">
        <f>AND(#REF!,"AAAAAATq/7c=")</f>
        <v>#REF!</v>
      </c>
      <c r="GC66" t="e">
        <f>AND(#REF!,"AAAAAATq/7g=")</f>
        <v>#REF!</v>
      </c>
      <c r="GD66" t="e">
        <f>AND(#REF!,"AAAAAATq/7k=")</f>
        <v>#REF!</v>
      </c>
      <c r="GE66" t="e">
        <f>AND(#REF!,"AAAAAATq/7o=")</f>
        <v>#REF!</v>
      </c>
      <c r="GF66" t="e">
        <f>AND(#REF!,"AAAAAATq/7s=")</f>
        <v>#REF!</v>
      </c>
      <c r="GG66" t="e">
        <f>AND(#REF!,"AAAAAATq/7w=")</f>
        <v>#REF!</v>
      </c>
      <c r="GH66" t="e">
        <f>AND(#REF!,"AAAAAATq/70=")</f>
        <v>#REF!</v>
      </c>
      <c r="GI66" t="e">
        <f>AND(#REF!,"AAAAAATq/74=")</f>
        <v>#REF!</v>
      </c>
      <c r="GJ66" t="e">
        <f>AND(#REF!,"AAAAAATq/78=")</f>
        <v>#REF!</v>
      </c>
      <c r="GK66" t="e">
        <f>AND(#REF!,"AAAAAATq/8A=")</f>
        <v>#REF!</v>
      </c>
      <c r="GL66" t="e">
        <f>AND(#REF!,"AAAAAATq/8E=")</f>
        <v>#REF!</v>
      </c>
      <c r="GM66" t="e">
        <f>AND(#REF!,"AAAAAATq/8I=")</f>
        <v>#REF!</v>
      </c>
      <c r="GN66" t="e">
        <f>AND(#REF!,"AAAAAATq/8M=")</f>
        <v>#REF!</v>
      </c>
      <c r="GO66" t="e">
        <f>AND(#REF!,"AAAAAATq/8Q=")</f>
        <v>#REF!</v>
      </c>
      <c r="GP66" t="e">
        <f>AND(#REF!,"AAAAAATq/8U=")</f>
        <v>#REF!</v>
      </c>
      <c r="GQ66" t="e">
        <f>AND(#REF!,"AAAAAATq/8Y=")</f>
        <v>#REF!</v>
      </c>
      <c r="GR66" t="e">
        <f>AND(#REF!,"AAAAAATq/8c=")</f>
        <v>#REF!</v>
      </c>
      <c r="GS66" t="e">
        <f>AND(#REF!,"AAAAAATq/8g=")</f>
        <v>#REF!</v>
      </c>
      <c r="GT66" t="e">
        <f>AND(#REF!,"AAAAAATq/8k=")</f>
        <v>#REF!</v>
      </c>
      <c r="GU66" t="e">
        <f>AND(#REF!,"AAAAAATq/8o=")</f>
        <v>#REF!</v>
      </c>
      <c r="GV66" t="e">
        <f>AND(#REF!,"AAAAAATq/8s=")</f>
        <v>#REF!</v>
      </c>
      <c r="GW66" t="e">
        <f>AND(#REF!,"AAAAAATq/8w=")</f>
        <v>#REF!</v>
      </c>
      <c r="GX66" t="e">
        <f>AND(#REF!,"AAAAAATq/80=")</f>
        <v>#REF!</v>
      </c>
      <c r="GY66" t="e">
        <f>AND(#REF!,"AAAAAATq/84=")</f>
        <v>#REF!</v>
      </c>
      <c r="GZ66" t="e">
        <f>AND(#REF!,"AAAAAATq/88=")</f>
        <v>#REF!</v>
      </c>
      <c r="HA66" t="e">
        <f>AND(#REF!,"AAAAAATq/9A=")</f>
        <v>#REF!</v>
      </c>
      <c r="HB66" t="e">
        <f>AND(#REF!,"AAAAAATq/9E=")</f>
        <v>#REF!</v>
      </c>
      <c r="HC66" t="e">
        <f>AND(#REF!,"AAAAAATq/9I=")</f>
        <v>#REF!</v>
      </c>
      <c r="HD66" t="e">
        <f>AND(#REF!,"AAAAAATq/9M=")</f>
        <v>#REF!</v>
      </c>
      <c r="HE66" t="e">
        <f>AND(#REF!,"AAAAAATq/9Q=")</f>
        <v>#REF!</v>
      </c>
      <c r="HF66" t="e">
        <f>AND(#REF!,"AAAAAATq/9U=")</f>
        <v>#REF!</v>
      </c>
      <c r="HG66" t="e">
        <f>AND(#REF!,"AAAAAATq/9Y=")</f>
        <v>#REF!</v>
      </c>
      <c r="HH66" t="e">
        <f>AND(#REF!,"AAAAAATq/9c=")</f>
        <v>#REF!</v>
      </c>
      <c r="HI66" t="e">
        <f>AND(#REF!,"AAAAAATq/9g=")</f>
        <v>#REF!</v>
      </c>
      <c r="HJ66" t="e">
        <f>AND(#REF!,"AAAAAATq/9k=")</f>
        <v>#REF!</v>
      </c>
      <c r="HK66" t="e">
        <f>AND(#REF!,"AAAAAATq/9o=")</f>
        <v>#REF!</v>
      </c>
      <c r="HL66" t="e">
        <f>AND(#REF!,"AAAAAATq/9s=")</f>
        <v>#REF!</v>
      </c>
      <c r="HM66" t="e">
        <f>AND(#REF!,"AAAAAATq/9w=")</f>
        <v>#REF!</v>
      </c>
      <c r="HN66" t="e">
        <f>AND(#REF!,"AAAAAATq/90=")</f>
        <v>#REF!</v>
      </c>
      <c r="HO66" t="e">
        <f>AND(#REF!,"AAAAAATq/94=")</f>
        <v>#REF!</v>
      </c>
      <c r="HP66" t="e">
        <f>AND(#REF!,"AAAAAATq/98=")</f>
        <v>#REF!</v>
      </c>
      <c r="HQ66" t="e">
        <f>AND(#REF!,"AAAAAATq/+A=")</f>
        <v>#REF!</v>
      </c>
      <c r="HR66" t="e">
        <f>AND(#REF!,"AAAAAATq/+E=")</f>
        <v>#REF!</v>
      </c>
      <c r="HS66" t="e">
        <f>AND(#REF!,"AAAAAATq/+I=")</f>
        <v>#REF!</v>
      </c>
      <c r="HT66" t="e">
        <f>AND(#REF!,"AAAAAATq/+M=")</f>
        <v>#REF!</v>
      </c>
      <c r="HU66" t="e">
        <f>AND(#REF!,"AAAAAATq/+Q=")</f>
        <v>#REF!</v>
      </c>
      <c r="HV66" t="e">
        <f>AND(#REF!,"AAAAAATq/+U=")</f>
        <v>#REF!</v>
      </c>
      <c r="HW66" t="e">
        <f>AND(#REF!,"AAAAAATq/+Y=")</f>
        <v>#REF!</v>
      </c>
      <c r="HX66" t="e">
        <f>AND(#REF!,"AAAAAATq/+c=")</f>
        <v>#REF!</v>
      </c>
      <c r="HY66" t="e">
        <f>AND(#REF!,"AAAAAATq/+g=")</f>
        <v>#REF!</v>
      </c>
      <c r="HZ66" t="e">
        <f>AND(#REF!,"AAAAAATq/+k=")</f>
        <v>#REF!</v>
      </c>
      <c r="IA66" t="e">
        <f>AND(#REF!,"AAAAAATq/+o=")</f>
        <v>#REF!</v>
      </c>
      <c r="IB66" t="e">
        <f>IF(#REF!,"AAAAAATq/+s=",0)</f>
        <v>#REF!</v>
      </c>
      <c r="IC66" t="e">
        <f>AND(#REF!,"AAAAAATq/+w=")</f>
        <v>#REF!</v>
      </c>
      <c r="ID66" t="e">
        <f>AND(#REF!,"AAAAAATq/+0=")</f>
        <v>#REF!</v>
      </c>
      <c r="IE66" t="e">
        <f>AND(#REF!,"AAAAAATq/+4=")</f>
        <v>#REF!</v>
      </c>
      <c r="IF66" t="e">
        <f>AND(#REF!,"AAAAAATq/+8=")</f>
        <v>#REF!</v>
      </c>
      <c r="IG66" t="e">
        <f>AND(#REF!,"AAAAAATq//A=")</f>
        <v>#REF!</v>
      </c>
      <c r="IH66" t="e">
        <f>AND(#REF!,"AAAAAATq//E=")</f>
        <v>#REF!</v>
      </c>
      <c r="II66" t="e">
        <f>AND(#REF!,"AAAAAATq//I=")</f>
        <v>#REF!</v>
      </c>
      <c r="IJ66" t="e">
        <f>AND(#REF!,"AAAAAATq//M=")</f>
        <v>#REF!</v>
      </c>
      <c r="IK66" t="e">
        <f>AND(#REF!,"AAAAAATq//Q=")</f>
        <v>#REF!</v>
      </c>
      <c r="IL66" t="e">
        <f>AND(#REF!,"AAAAAATq//U=")</f>
        <v>#REF!</v>
      </c>
      <c r="IM66" t="e">
        <f>AND(#REF!,"AAAAAATq//Y=")</f>
        <v>#REF!</v>
      </c>
      <c r="IN66" t="e">
        <f>AND(#REF!,"AAAAAATq//c=")</f>
        <v>#REF!</v>
      </c>
      <c r="IO66" t="e">
        <f>AND(#REF!,"AAAAAATq//g=")</f>
        <v>#REF!</v>
      </c>
      <c r="IP66" t="e">
        <f>AND(#REF!,"AAAAAATq//k=")</f>
        <v>#REF!</v>
      </c>
      <c r="IQ66" t="e">
        <f>AND(#REF!,"AAAAAATq//o=")</f>
        <v>#REF!</v>
      </c>
      <c r="IR66" t="e">
        <f>AND(#REF!,"AAAAAATq//s=")</f>
        <v>#REF!</v>
      </c>
      <c r="IS66" t="e">
        <f>AND(#REF!,"AAAAAATq//w=")</f>
        <v>#REF!</v>
      </c>
      <c r="IT66" t="e">
        <f>AND(#REF!,"AAAAAATq//0=")</f>
        <v>#REF!</v>
      </c>
      <c r="IU66" t="e">
        <f>AND(#REF!,"AAAAAATq//4=")</f>
        <v>#REF!</v>
      </c>
      <c r="IV66" t="e">
        <f>AND(#REF!,"AAAAAATq//8=")</f>
        <v>#REF!</v>
      </c>
    </row>
    <row r="67" spans="1:256" x14ac:dyDescent="0.2">
      <c r="A67" t="e">
        <f>AND(#REF!,"AAAAAH+3OwA=")</f>
        <v>#REF!</v>
      </c>
      <c r="B67" t="e">
        <f>AND(#REF!,"AAAAAH+3OwE=")</f>
        <v>#REF!</v>
      </c>
      <c r="C67" t="e">
        <f>AND(#REF!,"AAAAAH+3OwI=")</f>
        <v>#REF!</v>
      </c>
      <c r="D67" t="e">
        <f>AND(#REF!,"AAAAAH+3OwM=")</f>
        <v>#REF!</v>
      </c>
      <c r="E67" t="e">
        <f>AND(#REF!,"AAAAAH+3OwQ=")</f>
        <v>#REF!</v>
      </c>
      <c r="F67" t="e">
        <f>AND(#REF!,"AAAAAH+3OwU=")</f>
        <v>#REF!</v>
      </c>
      <c r="G67" t="e">
        <f>AND(#REF!,"AAAAAH+3OwY=")</f>
        <v>#REF!</v>
      </c>
      <c r="H67" t="e">
        <f>AND(#REF!,"AAAAAH+3Owc=")</f>
        <v>#REF!</v>
      </c>
      <c r="I67" t="e">
        <f>AND(#REF!,"AAAAAH+3Owg=")</f>
        <v>#REF!</v>
      </c>
      <c r="J67" t="e">
        <f>AND(#REF!,"AAAAAH+3Owk=")</f>
        <v>#REF!</v>
      </c>
      <c r="K67" t="e">
        <f>AND(#REF!,"AAAAAH+3Owo=")</f>
        <v>#REF!</v>
      </c>
      <c r="L67" t="e">
        <f>AND(#REF!,"AAAAAH+3Ows=")</f>
        <v>#REF!</v>
      </c>
      <c r="M67" t="e">
        <f>AND(#REF!,"AAAAAH+3Oww=")</f>
        <v>#REF!</v>
      </c>
      <c r="N67" t="e">
        <f>AND(#REF!,"AAAAAH+3Ow0=")</f>
        <v>#REF!</v>
      </c>
      <c r="O67" t="e">
        <f>AND(#REF!,"AAAAAH+3Ow4=")</f>
        <v>#REF!</v>
      </c>
      <c r="P67" t="e">
        <f>AND(#REF!,"AAAAAH+3Ow8=")</f>
        <v>#REF!</v>
      </c>
      <c r="Q67" t="e">
        <f>AND(#REF!,"AAAAAH+3OxA=")</f>
        <v>#REF!</v>
      </c>
      <c r="R67" t="e">
        <f>AND(#REF!,"AAAAAH+3OxE=")</f>
        <v>#REF!</v>
      </c>
      <c r="S67" t="e">
        <f>AND(#REF!,"AAAAAH+3OxI=")</f>
        <v>#REF!</v>
      </c>
      <c r="T67" t="e">
        <f>AND(#REF!,"AAAAAH+3OxM=")</f>
        <v>#REF!</v>
      </c>
      <c r="U67" t="e">
        <f>AND(#REF!,"AAAAAH+3OxQ=")</f>
        <v>#REF!</v>
      </c>
      <c r="V67" t="e">
        <f>AND(#REF!,"AAAAAH+3OxU=")</f>
        <v>#REF!</v>
      </c>
      <c r="W67" t="e">
        <f>AND(#REF!,"AAAAAH+3OxY=")</f>
        <v>#REF!</v>
      </c>
      <c r="X67" t="e">
        <f>AND(#REF!,"AAAAAH+3Oxc=")</f>
        <v>#REF!</v>
      </c>
      <c r="Y67" t="e">
        <f>AND(#REF!,"AAAAAH+3Oxg=")</f>
        <v>#REF!</v>
      </c>
      <c r="Z67" t="e">
        <f>AND(#REF!,"AAAAAH+3Oxk=")</f>
        <v>#REF!</v>
      </c>
      <c r="AA67" t="e">
        <f>AND(#REF!,"AAAAAH+3Oxo=")</f>
        <v>#REF!</v>
      </c>
      <c r="AB67" t="e">
        <f>AND(#REF!,"AAAAAH+3Oxs=")</f>
        <v>#REF!</v>
      </c>
      <c r="AC67" t="e">
        <f>AND(#REF!,"AAAAAH+3Oxw=")</f>
        <v>#REF!</v>
      </c>
      <c r="AD67" t="e">
        <f>AND(#REF!,"AAAAAH+3Ox0=")</f>
        <v>#REF!</v>
      </c>
      <c r="AE67" t="e">
        <f>AND(#REF!,"AAAAAH+3Ox4=")</f>
        <v>#REF!</v>
      </c>
      <c r="AF67" t="e">
        <f>AND(#REF!,"AAAAAH+3Ox8=")</f>
        <v>#REF!</v>
      </c>
      <c r="AG67" t="e">
        <f>AND(#REF!,"AAAAAH+3OyA=")</f>
        <v>#REF!</v>
      </c>
      <c r="AH67" t="e">
        <f>AND(#REF!,"AAAAAH+3OyE=")</f>
        <v>#REF!</v>
      </c>
      <c r="AI67" t="e">
        <f>AND(#REF!,"AAAAAH+3OyI=")</f>
        <v>#REF!</v>
      </c>
      <c r="AJ67" t="e">
        <f>AND(#REF!,"AAAAAH+3OyM=")</f>
        <v>#REF!</v>
      </c>
      <c r="AK67" t="e">
        <f>AND(#REF!,"AAAAAH+3OyQ=")</f>
        <v>#REF!</v>
      </c>
      <c r="AL67" t="e">
        <f>AND(#REF!,"AAAAAH+3OyU=")</f>
        <v>#REF!</v>
      </c>
      <c r="AM67" t="e">
        <f>AND(#REF!,"AAAAAH+3OyY=")</f>
        <v>#REF!</v>
      </c>
      <c r="AN67" t="e">
        <f>AND(#REF!,"AAAAAH+3Oyc=")</f>
        <v>#REF!</v>
      </c>
      <c r="AO67" t="e">
        <f>AND(#REF!,"AAAAAH+3Oyg=")</f>
        <v>#REF!</v>
      </c>
      <c r="AP67" t="e">
        <f>AND(#REF!,"AAAAAH+3Oyk=")</f>
        <v>#REF!</v>
      </c>
      <c r="AQ67" t="e">
        <f>AND(#REF!,"AAAAAH+3Oyo=")</f>
        <v>#REF!</v>
      </c>
      <c r="AR67" t="e">
        <f>AND(#REF!,"AAAAAH+3Oys=")</f>
        <v>#REF!</v>
      </c>
      <c r="AS67" t="e">
        <f>AND(#REF!,"AAAAAH+3Oyw=")</f>
        <v>#REF!</v>
      </c>
      <c r="AT67" t="e">
        <f>AND(#REF!,"AAAAAH+3Oy0=")</f>
        <v>#REF!</v>
      </c>
      <c r="AU67" t="e">
        <f>AND(#REF!,"AAAAAH+3Oy4=")</f>
        <v>#REF!</v>
      </c>
      <c r="AV67" t="e">
        <f>AND(#REF!,"AAAAAH+3Oy8=")</f>
        <v>#REF!</v>
      </c>
      <c r="AW67" t="e">
        <f>AND(#REF!,"AAAAAH+3OzA=")</f>
        <v>#REF!</v>
      </c>
      <c r="AX67" t="e">
        <f>AND(#REF!,"AAAAAH+3OzE=")</f>
        <v>#REF!</v>
      </c>
      <c r="AY67" t="e">
        <f>AND(#REF!,"AAAAAH+3OzI=")</f>
        <v>#REF!</v>
      </c>
      <c r="AZ67" t="e">
        <f>AND(#REF!,"AAAAAH+3OzM=")</f>
        <v>#REF!</v>
      </c>
      <c r="BA67" t="e">
        <f>AND(#REF!,"AAAAAH+3OzQ=")</f>
        <v>#REF!</v>
      </c>
      <c r="BB67" t="e">
        <f>AND(#REF!,"AAAAAH+3OzU=")</f>
        <v>#REF!</v>
      </c>
      <c r="BC67" t="e">
        <f>IF(#REF!,"AAAAAH+3OzY=",0)</f>
        <v>#REF!</v>
      </c>
      <c r="BD67" t="e">
        <f>AND(#REF!,"AAAAAH+3Ozc=")</f>
        <v>#REF!</v>
      </c>
      <c r="BE67" t="e">
        <f>AND(#REF!,"AAAAAH+3Ozg=")</f>
        <v>#REF!</v>
      </c>
      <c r="BF67" t="e">
        <f>AND(#REF!,"AAAAAH+3Ozk=")</f>
        <v>#REF!</v>
      </c>
      <c r="BG67" t="e">
        <f>AND(#REF!,"AAAAAH+3Ozo=")</f>
        <v>#REF!</v>
      </c>
      <c r="BH67" t="e">
        <f>AND(#REF!,"AAAAAH+3Ozs=")</f>
        <v>#REF!</v>
      </c>
      <c r="BI67" t="e">
        <f>AND(#REF!,"AAAAAH+3Ozw=")</f>
        <v>#REF!</v>
      </c>
      <c r="BJ67" t="e">
        <f>AND(#REF!,"AAAAAH+3Oz0=")</f>
        <v>#REF!</v>
      </c>
      <c r="BK67" t="e">
        <f>AND(#REF!,"AAAAAH+3Oz4=")</f>
        <v>#REF!</v>
      </c>
      <c r="BL67" t="e">
        <f>AND(#REF!,"AAAAAH+3Oz8=")</f>
        <v>#REF!</v>
      </c>
      <c r="BM67" t="e">
        <f>AND(#REF!,"AAAAAH+3O0A=")</f>
        <v>#REF!</v>
      </c>
      <c r="BN67" t="e">
        <f>AND(#REF!,"AAAAAH+3O0E=")</f>
        <v>#REF!</v>
      </c>
      <c r="BO67" t="e">
        <f>AND(#REF!,"AAAAAH+3O0I=")</f>
        <v>#REF!</v>
      </c>
      <c r="BP67" t="e">
        <f>AND(#REF!,"AAAAAH+3O0M=")</f>
        <v>#REF!</v>
      </c>
      <c r="BQ67" t="e">
        <f>AND(#REF!,"AAAAAH+3O0Q=")</f>
        <v>#REF!</v>
      </c>
      <c r="BR67" t="e">
        <f>AND(#REF!,"AAAAAH+3O0U=")</f>
        <v>#REF!</v>
      </c>
      <c r="BS67" t="e">
        <f>AND(#REF!,"AAAAAH+3O0Y=")</f>
        <v>#REF!</v>
      </c>
      <c r="BT67" t="e">
        <f>AND(#REF!,"AAAAAH+3O0c=")</f>
        <v>#REF!</v>
      </c>
      <c r="BU67" t="e">
        <f>AND(#REF!,"AAAAAH+3O0g=")</f>
        <v>#REF!</v>
      </c>
      <c r="BV67" t="e">
        <f>AND(#REF!,"AAAAAH+3O0k=")</f>
        <v>#REF!</v>
      </c>
      <c r="BW67" t="e">
        <f>AND(#REF!,"AAAAAH+3O0o=")</f>
        <v>#REF!</v>
      </c>
      <c r="BX67" t="e">
        <f>AND(#REF!,"AAAAAH+3O0s=")</f>
        <v>#REF!</v>
      </c>
      <c r="BY67" t="e">
        <f>AND(#REF!,"AAAAAH+3O0w=")</f>
        <v>#REF!</v>
      </c>
      <c r="BZ67" t="e">
        <f>AND(#REF!,"AAAAAH+3O00=")</f>
        <v>#REF!</v>
      </c>
      <c r="CA67" t="e">
        <f>AND(#REF!,"AAAAAH+3O04=")</f>
        <v>#REF!</v>
      </c>
      <c r="CB67" t="e">
        <f>AND(#REF!,"AAAAAH+3O08=")</f>
        <v>#REF!</v>
      </c>
      <c r="CC67" t="e">
        <f>AND(#REF!,"AAAAAH+3O1A=")</f>
        <v>#REF!</v>
      </c>
      <c r="CD67" t="e">
        <f>AND(#REF!,"AAAAAH+3O1E=")</f>
        <v>#REF!</v>
      </c>
      <c r="CE67" t="e">
        <f>AND(#REF!,"AAAAAH+3O1I=")</f>
        <v>#REF!</v>
      </c>
      <c r="CF67" t="e">
        <f>AND(#REF!,"AAAAAH+3O1M=")</f>
        <v>#REF!</v>
      </c>
      <c r="CG67" t="e">
        <f>AND(#REF!,"AAAAAH+3O1Q=")</f>
        <v>#REF!</v>
      </c>
      <c r="CH67" t="e">
        <f>AND(#REF!,"AAAAAH+3O1U=")</f>
        <v>#REF!</v>
      </c>
      <c r="CI67" t="e">
        <f>AND(#REF!,"AAAAAH+3O1Y=")</f>
        <v>#REF!</v>
      </c>
      <c r="CJ67" t="e">
        <f>AND(#REF!,"AAAAAH+3O1c=")</f>
        <v>#REF!</v>
      </c>
      <c r="CK67" t="e">
        <f>AND(#REF!,"AAAAAH+3O1g=")</f>
        <v>#REF!</v>
      </c>
      <c r="CL67" t="e">
        <f>AND(#REF!,"AAAAAH+3O1k=")</f>
        <v>#REF!</v>
      </c>
      <c r="CM67" t="e">
        <f>AND(#REF!,"AAAAAH+3O1o=")</f>
        <v>#REF!</v>
      </c>
      <c r="CN67" t="e">
        <f>AND(#REF!,"AAAAAH+3O1s=")</f>
        <v>#REF!</v>
      </c>
      <c r="CO67" t="e">
        <f>AND(#REF!,"AAAAAH+3O1w=")</f>
        <v>#REF!</v>
      </c>
      <c r="CP67" t="e">
        <f>AND(#REF!,"AAAAAH+3O10=")</f>
        <v>#REF!</v>
      </c>
      <c r="CQ67" t="e">
        <f>AND(#REF!,"AAAAAH+3O14=")</f>
        <v>#REF!</v>
      </c>
      <c r="CR67" t="e">
        <f>AND(#REF!,"AAAAAH+3O18=")</f>
        <v>#REF!</v>
      </c>
      <c r="CS67" t="e">
        <f>AND(#REF!,"AAAAAH+3O2A=")</f>
        <v>#REF!</v>
      </c>
      <c r="CT67" t="e">
        <f>AND(#REF!,"AAAAAH+3O2E=")</f>
        <v>#REF!</v>
      </c>
      <c r="CU67" t="e">
        <f>AND(#REF!,"AAAAAH+3O2I=")</f>
        <v>#REF!</v>
      </c>
      <c r="CV67" t="e">
        <f>AND(#REF!,"AAAAAH+3O2M=")</f>
        <v>#REF!</v>
      </c>
      <c r="CW67" t="e">
        <f>AND(#REF!,"AAAAAH+3O2Q=")</f>
        <v>#REF!</v>
      </c>
      <c r="CX67" t="e">
        <f>AND(#REF!,"AAAAAH+3O2U=")</f>
        <v>#REF!</v>
      </c>
      <c r="CY67" t="e">
        <f>AND(#REF!,"AAAAAH+3O2Y=")</f>
        <v>#REF!</v>
      </c>
      <c r="CZ67" t="e">
        <f>AND(#REF!,"AAAAAH+3O2c=")</f>
        <v>#REF!</v>
      </c>
      <c r="DA67" t="e">
        <f>AND(#REF!,"AAAAAH+3O2g=")</f>
        <v>#REF!</v>
      </c>
      <c r="DB67" t="e">
        <f>AND(#REF!,"AAAAAH+3O2k=")</f>
        <v>#REF!</v>
      </c>
      <c r="DC67" t="e">
        <f>AND(#REF!,"AAAAAH+3O2o=")</f>
        <v>#REF!</v>
      </c>
      <c r="DD67" t="e">
        <f>AND(#REF!,"AAAAAH+3O2s=")</f>
        <v>#REF!</v>
      </c>
      <c r="DE67" t="e">
        <f>AND(#REF!,"AAAAAH+3O2w=")</f>
        <v>#REF!</v>
      </c>
      <c r="DF67" t="e">
        <f>AND(#REF!,"AAAAAH+3O20=")</f>
        <v>#REF!</v>
      </c>
      <c r="DG67" t="e">
        <f>AND(#REF!,"AAAAAH+3O24=")</f>
        <v>#REF!</v>
      </c>
      <c r="DH67" t="e">
        <f>AND(#REF!,"AAAAAH+3O28=")</f>
        <v>#REF!</v>
      </c>
      <c r="DI67" t="e">
        <f>AND(#REF!,"AAAAAH+3O3A=")</f>
        <v>#REF!</v>
      </c>
      <c r="DJ67" t="e">
        <f>AND(#REF!,"AAAAAH+3O3E=")</f>
        <v>#REF!</v>
      </c>
      <c r="DK67" t="e">
        <f>AND(#REF!,"AAAAAH+3O3I=")</f>
        <v>#REF!</v>
      </c>
      <c r="DL67" t="e">
        <f>AND(#REF!,"AAAAAH+3O3M=")</f>
        <v>#REF!</v>
      </c>
      <c r="DM67" t="e">
        <f>AND(#REF!,"AAAAAH+3O3Q=")</f>
        <v>#REF!</v>
      </c>
      <c r="DN67" t="e">
        <f>AND(#REF!,"AAAAAH+3O3U=")</f>
        <v>#REF!</v>
      </c>
      <c r="DO67" t="e">
        <f>AND(#REF!,"AAAAAH+3O3Y=")</f>
        <v>#REF!</v>
      </c>
      <c r="DP67" t="e">
        <f>AND(#REF!,"AAAAAH+3O3c=")</f>
        <v>#REF!</v>
      </c>
      <c r="DQ67" t="e">
        <f>AND(#REF!,"AAAAAH+3O3g=")</f>
        <v>#REF!</v>
      </c>
      <c r="DR67" t="e">
        <f>AND(#REF!,"AAAAAH+3O3k=")</f>
        <v>#REF!</v>
      </c>
      <c r="DS67" t="e">
        <f>AND(#REF!,"AAAAAH+3O3o=")</f>
        <v>#REF!</v>
      </c>
      <c r="DT67" t="e">
        <f>AND(#REF!,"AAAAAH+3O3s=")</f>
        <v>#REF!</v>
      </c>
      <c r="DU67" t="e">
        <f>AND(#REF!,"AAAAAH+3O3w=")</f>
        <v>#REF!</v>
      </c>
      <c r="DV67" t="e">
        <f>AND(#REF!,"AAAAAH+3O30=")</f>
        <v>#REF!</v>
      </c>
      <c r="DW67" t="e">
        <f>AND(#REF!,"AAAAAH+3O34=")</f>
        <v>#REF!</v>
      </c>
      <c r="DX67" t="e">
        <f>AND(#REF!,"AAAAAH+3O38=")</f>
        <v>#REF!</v>
      </c>
      <c r="DY67" t="e">
        <f>AND(#REF!,"AAAAAH+3O4A=")</f>
        <v>#REF!</v>
      </c>
      <c r="DZ67" t="e">
        <f>IF(#REF!,"AAAAAH+3O4E=",0)</f>
        <v>#REF!</v>
      </c>
      <c r="EA67" t="e">
        <f>AND(#REF!,"AAAAAH+3O4I=")</f>
        <v>#REF!</v>
      </c>
      <c r="EB67" t="e">
        <f>AND(#REF!,"AAAAAH+3O4M=")</f>
        <v>#REF!</v>
      </c>
      <c r="EC67" t="e">
        <f>AND(#REF!,"AAAAAH+3O4Q=")</f>
        <v>#REF!</v>
      </c>
      <c r="ED67" t="e">
        <f>AND(#REF!,"AAAAAH+3O4U=")</f>
        <v>#REF!</v>
      </c>
      <c r="EE67" t="e">
        <f>AND(#REF!,"AAAAAH+3O4Y=")</f>
        <v>#REF!</v>
      </c>
      <c r="EF67" t="e">
        <f>AND(#REF!,"AAAAAH+3O4c=")</f>
        <v>#REF!</v>
      </c>
      <c r="EG67" t="e">
        <f>AND(#REF!,"AAAAAH+3O4g=")</f>
        <v>#REF!</v>
      </c>
      <c r="EH67" t="e">
        <f>AND(#REF!,"AAAAAH+3O4k=")</f>
        <v>#REF!</v>
      </c>
      <c r="EI67" t="e">
        <f>AND(#REF!,"AAAAAH+3O4o=")</f>
        <v>#REF!</v>
      </c>
      <c r="EJ67" t="e">
        <f>AND(#REF!,"AAAAAH+3O4s=")</f>
        <v>#REF!</v>
      </c>
      <c r="EK67" t="e">
        <f>AND(#REF!,"AAAAAH+3O4w=")</f>
        <v>#REF!</v>
      </c>
      <c r="EL67" t="e">
        <f>AND(#REF!,"AAAAAH+3O40=")</f>
        <v>#REF!</v>
      </c>
      <c r="EM67" t="e">
        <f>AND(#REF!,"AAAAAH+3O44=")</f>
        <v>#REF!</v>
      </c>
      <c r="EN67" t="e">
        <f>AND(#REF!,"AAAAAH+3O48=")</f>
        <v>#REF!</v>
      </c>
      <c r="EO67" t="e">
        <f>AND(#REF!,"AAAAAH+3O5A=")</f>
        <v>#REF!</v>
      </c>
      <c r="EP67" t="e">
        <f>AND(#REF!,"AAAAAH+3O5E=")</f>
        <v>#REF!</v>
      </c>
      <c r="EQ67" t="e">
        <f>AND(#REF!,"AAAAAH+3O5I=")</f>
        <v>#REF!</v>
      </c>
      <c r="ER67" t="e">
        <f>AND(#REF!,"AAAAAH+3O5M=")</f>
        <v>#REF!</v>
      </c>
      <c r="ES67" t="e">
        <f>AND(#REF!,"AAAAAH+3O5Q=")</f>
        <v>#REF!</v>
      </c>
      <c r="ET67" t="e">
        <f>AND(#REF!,"AAAAAH+3O5U=")</f>
        <v>#REF!</v>
      </c>
      <c r="EU67" t="e">
        <f>AND(#REF!,"AAAAAH+3O5Y=")</f>
        <v>#REF!</v>
      </c>
      <c r="EV67" t="e">
        <f>AND(#REF!,"AAAAAH+3O5c=")</f>
        <v>#REF!</v>
      </c>
      <c r="EW67" t="e">
        <f>AND(#REF!,"AAAAAH+3O5g=")</f>
        <v>#REF!</v>
      </c>
      <c r="EX67" t="e">
        <f>AND(#REF!,"AAAAAH+3O5k=")</f>
        <v>#REF!</v>
      </c>
      <c r="EY67" t="e">
        <f>AND(#REF!,"AAAAAH+3O5o=")</f>
        <v>#REF!</v>
      </c>
      <c r="EZ67" t="e">
        <f>AND(#REF!,"AAAAAH+3O5s=")</f>
        <v>#REF!</v>
      </c>
      <c r="FA67" t="e">
        <f>AND(#REF!,"AAAAAH+3O5w=")</f>
        <v>#REF!</v>
      </c>
      <c r="FB67" t="e">
        <f>AND(#REF!,"AAAAAH+3O50=")</f>
        <v>#REF!</v>
      </c>
      <c r="FC67" t="e">
        <f>AND(#REF!,"AAAAAH+3O54=")</f>
        <v>#REF!</v>
      </c>
      <c r="FD67" t="e">
        <f>AND(#REF!,"AAAAAH+3O58=")</f>
        <v>#REF!</v>
      </c>
      <c r="FE67" t="e">
        <f>AND(#REF!,"AAAAAH+3O6A=")</f>
        <v>#REF!</v>
      </c>
      <c r="FF67" t="e">
        <f>AND(#REF!,"AAAAAH+3O6E=")</f>
        <v>#REF!</v>
      </c>
      <c r="FG67" t="e">
        <f>AND(#REF!,"AAAAAH+3O6I=")</f>
        <v>#REF!</v>
      </c>
      <c r="FH67" t="e">
        <f>AND(#REF!,"AAAAAH+3O6M=")</f>
        <v>#REF!</v>
      </c>
      <c r="FI67" t="e">
        <f>AND(#REF!,"AAAAAH+3O6Q=")</f>
        <v>#REF!</v>
      </c>
      <c r="FJ67" t="e">
        <f>AND(#REF!,"AAAAAH+3O6U=")</f>
        <v>#REF!</v>
      </c>
      <c r="FK67" t="e">
        <f>AND(#REF!,"AAAAAH+3O6Y=")</f>
        <v>#REF!</v>
      </c>
      <c r="FL67" t="e">
        <f>AND(#REF!,"AAAAAH+3O6c=")</f>
        <v>#REF!</v>
      </c>
      <c r="FM67" t="e">
        <f>AND(#REF!,"AAAAAH+3O6g=")</f>
        <v>#REF!</v>
      </c>
      <c r="FN67" t="e">
        <f>AND(#REF!,"AAAAAH+3O6k=")</f>
        <v>#REF!</v>
      </c>
      <c r="FO67" t="e">
        <f>AND(#REF!,"AAAAAH+3O6o=")</f>
        <v>#REF!</v>
      </c>
      <c r="FP67" t="e">
        <f>AND(#REF!,"AAAAAH+3O6s=")</f>
        <v>#REF!</v>
      </c>
      <c r="FQ67" t="e">
        <f>AND(#REF!,"AAAAAH+3O6w=")</f>
        <v>#REF!</v>
      </c>
      <c r="FR67" t="e">
        <f>AND(#REF!,"AAAAAH+3O60=")</f>
        <v>#REF!</v>
      </c>
      <c r="FS67" t="e">
        <f>AND(#REF!,"AAAAAH+3O64=")</f>
        <v>#REF!</v>
      </c>
      <c r="FT67" t="e">
        <f>AND(#REF!,"AAAAAH+3O68=")</f>
        <v>#REF!</v>
      </c>
      <c r="FU67" t="e">
        <f>AND(#REF!,"AAAAAH+3O7A=")</f>
        <v>#REF!</v>
      </c>
      <c r="FV67" t="e">
        <f>AND(#REF!,"AAAAAH+3O7E=")</f>
        <v>#REF!</v>
      </c>
      <c r="FW67" t="e">
        <f>AND(#REF!,"AAAAAH+3O7I=")</f>
        <v>#REF!</v>
      </c>
      <c r="FX67" t="e">
        <f>AND(#REF!,"AAAAAH+3O7M=")</f>
        <v>#REF!</v>
      </c>
      <c r="FY67" t="e">
        <f>AND(#REF!,"AAAAAH+3O7Q=")</f>
        <v>#REF!</v>
      </c>
      <c r="FZ67" t="e">
        <f>AND(#REF!,"AAAAAH+3O7U=")</f>
        <v>#REF!</v>
      </c>
      <c r="GA67" t="e">
        <f>AND(#REF!,"AAAAAH+3O7Y=")</f>
        <v>#REF!</v>
      </c>
      <c r="GB67" t="e">
        <f>AND(#REF!,"AAAAAH+3O7c=")</f>
        <v>#REF!</v>
      </c>
      <c r="GC67" t="e">
        <f>AND(#REF!,"AAAAAH+3O7g=")</f>
        <v>#REF!</v>
      </c>
      <c r="GD67" t="e">
        <f>AND(#REF!,"AAAAAH+3O7k=")</f>
        <v>#REF!</v>
      </c>
      <c r="GE67" t="e">
        <f>AND(#REF!,"AAAAAH+3O7o=")</f>
        <v>#REF!</v>
      </c>
      <c r="GF67" t="e">
        <f>AND(#REF!,"AAAAAH+3O7s=")</f>
        <v>#REF!</v>
      </c>
      <c r="GG67" t="e">
        <f>AND(#REF!,"AAAAAH+3O7w=")</f>
        <v>#REF!</v>
      </c>
      <c r="GH67" t="e">
        <f>AND(#REF!,"AAAAAH+3O70=")</f>
        <v>#REF!</v>
      </c>
      <c r="GI67" t="e">
        <f>AND(#REF!,"AAAAAH+3O74=")</f>
        <v>#REF!</v>
      </c>
      <c r="GJ67" t="e">
        <f>AND(#REF!,"AAAAAH+3O78=")</f>
        <v>#REF!</v>
      </c>
      <c r="GK67" t="e">
        <f>AND(#REF!,"AAAAAH+3O8A=")</f>
        <v>#REF!</v>
      </c>
      <c r="GL67" t="e">
        <f>AND(#REF!,"AAAAAH+3O8E=")</f>
        <v>#REF!</v>
      </c>
      <c r="GM67" t="e">
        <f>AND(#REF!,"AAAAAH+3O8I=")</f>
        <v>#REF!</v>
      </c>
      <c r="GN67" t="e">
        <f>AND(#REF!,"AAAAAH+3O8M=")</f>
        <v>#REF!</v>
      </c>
      <c r="GO67" t="e">
        <f>AND(#REF!,"AAAAAH+3O8Q=")</f>
        <v>#REF!</v>
      </c>
      <c r="GP67" t="e">
        <f>AND(#REF!,"AAAAAH+3O8U=")</f>
        <v>#REF!</v>
      </c>
      <c r="GQ67" t="e">
        <f>AND(#REF!,"AAAAAH+3O8Y=")</f>
        <v>#REF!</v>
      </c>
      <c r="GR67" t="e">
        <f>AND(#REF!,"AAAAAH+3O8c=")</f>
        <v>#REF!</v>
      </c>
      <c r="GS67" t="e">
        <f>AND(#REF!,"AAAAAH+3O8g=")</f>
        <v>#REF!</v>
      </c>
      <c r="GT67" t="e">
        <f>AND(#REF!,"AAAAAH+3O8k=")</f>
        <v>#REF!</v>
      </c>
      <c r="GU67" t="e">
        <f>AND(#REF!,"AAAAAH+3O8o=")</f>
        <v>#REF!</v>
      </c>
      <c r="GV67" t="e">
        <f>AND(#REF!,"AAAAAH+3O8s=")</f>
        <v>#REF!</v>
      </c>
      <c r="GW67" t="e">
        <f>IF(#REF!,"AAAAAH+3O8w=",0)</f>
        <v>#REF!</v>
      </c>
      <c r="GX67" t="e">
        <f>AND(#REF!,"AAAAAH+3O80=")</f>
        <v>#REF!</v>
      </c>
      <c r="GY67" t="e">
        <f>AND(#REF!,"AAAAAH+3O84=")</f>
        <v>#REF!</v>
      </c>
      <c r="GZ67" t="e">
        <f>AND(#REF!,"AAAAAH+3O88=")</f>
        <v>#REF!</v>
      </c>
      <c r="HA67" t="e">
        <f>AND(#REF!,"AAAAAH+3O9A=")</f>
        <v>#REF!</v>
      </c>
      <c r="HB67" t="e">
        <f>AND(#REF!,"AAAAAH+3O9E=")</f>
        <v>#REF!</v>
      </c>
      <c r="HC67" t="e">
        <f>AND(#REF!,"AAAAAH+3O9I=")</f>
        <v>#REF!</v>
      </c>
      <c r="HD67" t="e">
        <f>AND(#REF!,"AAAAAH+3O9M=")</f>
        <v>#REF!</v>
      </c>
      <c r="HE67" t="e">
        <f>AND(#REF!,"AAAAAH+3O9Q=")</f>
        <v>#REF!</v>
      </c>
      <c r="HF67" t="e">
        <f>AND(#REF!,"AAAAAH+3O9U=")</f>
        <v>#REF!</v>
      </c>
      <c r="HG67" t="e">
        <f>AND(#REF!,"AAAAAH+3O9Y=")</f>
        <v>#REF!</v>
      </c>
      <c r="HH67" t="e">
        <f>AND(#REF!,"AAAAAH+3O9c=")</f>
        <v>#REF!</v>
      </c>
      <c r="HI67" t="e">
        <f>AND(#REF!,"AAAAAH+3O9g=")</f>
        <v>#REF!</v>
      </c>
      <c r="HJ67" t="e">
        <f>AND(#REF!,"AAAAAH+3O9k=")</f>
        <v>#REF!</v>
      </c>
      <c r="HK67" t="e">
        <f>AND(#REF!,"AAAAAH+3O9o=")</f>
        <v>#REF!</v>
      </c>
      <c r="HL67" t="e">
        <f>AND(#REF!,"AAAAAH+3O9s=")</f>
        <v>#REF!</v>
      </c>
      <c r="HM67" t="e">
        <f>AND(#REF!,"AAAAAH+3O9w=")</f>
        <v>#REF!</v>
      </c>
      <c r="HN67" t="e">
        <f>AND(#REF!,"AAAAAH+3O90=")</f>
        <v>#REF!</v>
      </c>
      <c r="HO67" t="e">
        <f>AND(#REF!,"AAAAAH+3O94=")</f>
        <v>#REF!</v>
      </c>
      <c r="HP67" t="e">
        <f>AND(#REF!,"AAAAAH+3O98=")</f>
        <v>#REF!</v>
      </c>
      <c r="HQ67" t="e">
        <f>AND(#REF!,"AAAAAH+3O+A=")</f>
        <v>#REF!</v>
      </c>
      <c r="HR67" t="e">
        <f>AND(#REF!,"AAAAAH+3O+E=")</f>
        <v>#REF!</v>
      </c>
      <c r="HS67" t="e">
        <f>AND(#REF!,"AAAAAH+3O+I=")</f>
        <v>#REF!</v>
      </c>
      <c r="HT67" t="e">
        <f>AND(#REF!,"AAAAAH+3O+M=")</f>
        <v>#REF!</v>
      </c>
      <c r="HU67" t="e">
        <f>AND(#REF!,"AAAAAH+3O+Q=")</f>
        <v>#REF!</v>
      </c>
      <c r="HV67" t="e">
        <f>AND(#REF!,"AAAAAH+3O+U=")</f>
        <v>#REF!</v>
      </c>
      <c r="HW67" t="e">
        <f>AND(#REF!,"AAAAAH+3O+Y=")</f>
        <v>#REF!</v>
      </c>
      <c r="HX67" t="e">
        <f>AND(#REF!,"AAAAAH+3O+c=")</f>
        <v>#REF!</v>
      </c>
      <c r="HY67" t="e">
        <f>AND(#REF!,"AAAAAH+3O+g=")</f>
        <v>#REF!</v>
      </c>
      <c r="HZ67" t="e">
        <f>AND(#REF!,"AAAAAH+3O+k=")</f>
        <v>#REF!</v>
      </c>
      <c r="IA67" t="e">
        <f>AND(#REF!,"AAAAAH+3O+o=")</f>
        <v>#REF!</v>
      </c>
      <c r="IB67" t="e">
        <f>AND(#REF!,"AAAAAH+3O+s=")</f>
        <v>#REF!</v>
      </c>
      <c r="IC67" t="e">
        <f>AND(#REF!,"AAAAAH+3O+w=")</f>
        <v>#REF!</v>
      </c>
      <c r="ID67" t="e">
        <f>AND(#REF!,"AAAAAH+3O+0=")</f>
        <v>#REF!</v>
      </c>
      <c r="IE67" t="e">
        <f>AND(#REF!,"AAAAAH+3O+4=")</f>
        <v>#REF!</v>
      </c>
      <c r="IF67" t="e">
        <f>AND(#REF!,"AAAAAH+3O+8=")</f>
        <v>#REF!</v>
      </c>
      <c r="IG67" t="e">
        <f>AND(#REF!,"AAAAAH+3O/A=")</f>
        <v>#REF!</v>
      </c>
      <c r="IH67" t="e">
        <f>AND(#REF!,"AAAAAH+3O/E=")</f>
        <v>#REF!</v>
      </c>
      <c r="II67" t="e">
        <f>AND(#REF!,"AAAAAH+3O/I=")</f>
        <v>#REF!</v>
      </c>
      <c r="IJ67" t="e">
        <f>AND(#REF!,"AAAAAH+3O/M=")</f>
        <v>#REF!</v>
      </c>
      <c r="IK67" t="e">
        <f>AND(#REF!,"AAAAAH+3O/Q=")</f>
        <v>#REF!</v>
      </c>
      <c r="IL67" t="e">
        <f>AND(#REF!,"AAAAAH+3O/U=")</f>
        <v>#REF!</v>
      </c>
      <c r="IM67" t="e">
        <f>AND(#REF!,"AAAAAH+3O/Y=")</f>
        <v>#REF!</v>
      </c>
      <c r="IN67" t="e">
        <f>AND(#REF!,"AAAAAH+3O/c=")</f>
        <v>#REF!</v>
      </c>
      <c r="IO67" t="e">
        <f>AND(#REF!,"AAAAAH+3O/g=")</f>
        <v>#REF!</v>
      </c>
      <c r="IP67" t="e">
        <f>AND(#REF!,"AAAAAH+3O/k=")</f>
        <v>#REF!</v>
      </c>
      <c r="IQ67" t="e">
        <f>AND(#REF!,"AAAAAH+3O/o=")</f>
        <v>#REF!</v>
      </c>
      <c r="IR67" t="e">
        <f>AND(#REF!,"AAAAAH+3O/s=")</f>
        <v>#REF!</v>
      </c>
      <c r="IS67" t="e">
        <f>AND(#REF!,"AAAAAH+3O/w=")</f>
        <v>#REF!</v>
      </c>
      <c r="IT67" t="e">
        <f>AND(#REF!,"AAAAAH+3O/0=")</f>
        <v>#REF!</v>
      </c>
      <c r="IU67" t="e">
        <f>AND(#REF!,"AAAAAH+3O/4=")</f>
        <v>#REF!</v>
      </c>
      <c r="IV67" t="e">
        <f>AND(#REF!,"AAAAAH+3O/8=")</f>
        <v>#REF!</v>
      </c>
    </row>
    <row r="68" spans="1:256" x14ac:dyDescent="0.2">
      <c r="A68" t="e">
        <f>AND(#REF!,"AAAAADfp/gA=")</f>
        <v>#REF!</v>
      </c>
      <c r="B68" t="e">
        <f>AND(#REF!,"AAAAADfp/gE=")</f>
        <v>#REF!</v>
      </c>
      <c r="C68" t="e">
        <f>AND(#REF!,"AAAAADfp/gI=")</f>
        <v>#REF!</v>
      </c>
      <c r="D68" t="e">
        <f>AND(#REF!,"AAAAADfp/gM=")</f>
        <v>#REF!</v>
      </c>
      <c r="E68" t="e">
        <f>AND(#REF!,"AAAAADfp/gQ=")</f>
        <v>#REF!</v>
      </c>
      <c r="F68" t="e">
        <f>AND(#REF!,"AAAAADfp/gU=")</f>
        <v>#REF!</v>
      </c>
      <c r="G68" t="e">
        <f>AND(#REF!,"AAAAADfp/gY=")</f>
        <v>#REF!</v>
      </c>
      <c r="H68" t="e">
        <f>AND(#REF!,"AAAAADfp/gc=")</f>
        <v>#REF!</v>
      </c>
      <c r="I68" t="e">
        <f>AND(#REF!,"AAAAADfp/gg=")</f>
        <v>#REF!</v>
      </c>
      <c r="J68" t="e">
        <f>AND(#REF!,"AAAAADfp/gk=")</f>
        <v>#REF!</v>
      </c>
      <c r="K68" t="e">
        <f>AND(#REF!,"AAAAADfp/go=")</f>
        <v>#REF!</v>
      </c>
      <c r="L68" t="e">
        <f>AND(#REF!,"AAAAADfp/gs=")</f>
        <v>#REF!</v>
      </c>
      <c r="M68" t="e">
        <f>AND(#REF!,"AAAAADfp/gw=")</f>
        <v>#REF!</v>
      </c>
      <c r="N68" t="e">
        <f>AND(#REF!,"AAAAADfp/g0=")</f>
        <v>#REF!</v>
      </c>
      <c r="O68" t="e">
        <f>AND(#REF!,"AAAAADfp/g4=")</f>
        <v>#REF!</v>
      </c>
      <c r="P68" t="e">
        <f>AND(#REF!,"AAAAADfp/g8=")</f>
        <v>#REF!</v>
      </c>
      <c r="Q68" t="e">
        <f>AND(#REF!,"AAAAADfp/hA=")</f>
        <v>#REF!</v>
      </c>
      <c r="R68" t="e">
        <f>AND(#REF!,"AAAAADfp/hE=")</f>
        <v>#REF!</v>
      </c>
      <c r="S68" t="e">
        <f>AND(#REF!,"AAAAADfp/hI=")</f>
        <v>#REF!</v>
      </c>
      <c r="T68" t="e">
        <f>AND(#REF!,"AAAAADfp/hM=")</f>
        <v>#REF!</v>
      </c>
      <c r="U68" t="e">
        <f>AND(#REF!,"AAAAADfp/hQ=")</f>
        <v>#REF!</v>
      </c>
      <c r="V68" t="e">
        <f>AND(#REF!,"AAAAADfp/hU=")</f>
        <v>#REF!</v>
      </c>
      <c r="W68" t="e">
        <f>AND(#REF!,"AAAAADfp/hY=")</f>
        <v>#REF!</v>
      </c>
      <c r="X68" t="e">
        <f>IF(#REF!,"AAAAADfp/hc=",0)</f>
        <v>#REF!</v>
      </c>
      <c r="Y68" t="e">
        <f>AND(#REF!,"AAAAADfp/hg=")</f>
        <v>#REF!</v>
      </c>
      <c r="Z68" t="e">
        <f>AND(#REF!,"AAAAADfp/hk=")</f>
        <v>#REF!</v>
      </c>
      <c r="AA68" t="e">
        <f>AND(#REF!,"AAAAADfp/ho=")</f>
        <v>#REF!</v>
      </c>
      <c r="AB68" t="e">
        <f>AND(#REF!,"AAAAADfp/hs=")</f>
        <v>#REF!</v>
      </c>
      <c r="AC68" t="e">
        <f>AND(#REF!,"AAAAADfp/hw=")</f>
        <v>#REF!</v>
      </c>
      <c r="AD68" t="e">
        <f>AND(#REF!,"AAAAADfp/h0=")</f>
        <v>#REF!</v>
      </c>
      <c r="AE68" t="e">
        <f>AND(#REF!,"AAAAADfp/h4=")</f>
        <v>#REF!</v>
      </c>
      <c r="AF68" t="e">
        <f>AND(#REF!,"AAAAADfp/h8=")</f>
        <v>#REF!</v>
      </c>
      <c r="AG68" t="e">
        <f>AND(#REF!,"AAAAADfp/iA=")</f>
        <v>#REF!</v>
      </c>
      <c r="AH68" t="e">
        <f>AND(#REF!,"AAAAADfp/iE=")</f>
        <v>#REF!</v>
      </c>
      <c r="AI68" t="e">
        <f>AND(#REF!,"AAAAADfp/iI=")</f>
        <v>#REF!</v>
      </c>
      <c r="AJ68" t="e">
        <f>AND(#REF!,"AAAAADfp/iM=")</f>
        <v>#REF!</v>
      </c>
      <c r="AK68" t="e">
        <f>AND(#REF!,"AAAAADfp/iQ=")</f>
        <v>#REF!</v>
      </c>
      <c r="AL68" t="e">
        <f>AND(#REF!,"AAAAADfp/iU=")</f>
        <v>#REF!</v>
      </c>
      <c r="AM68" t="e">
        <f>AND(#REF!,"AAAAADfp/iY=")</f>
        <v>#REF!</v>
      </c>
      <c r="AN68" t="e">
        <f>AND(#REF!,"AAAAADfp/ic=")</f>
        <v>#REF!</v>
      </c>
      <c r="AO68" t="e">
        <f>AND(#REF!,"AAAAADfp/ig=")</f>
        <v>#REF!</v>
      </c>
      <c r="AP68" t="e">
        <f>AND(#REF!,"AAAAADfp/ik=")</f>
        <v>#REF!</v>
      </c>
      <c r="AQ68" t="e">
        <f>AND(#REF!,"AAAAADfp/io=")</f>
        <v>#REF!</v>
      </c>
      <c r="AR68" t="e">
        <f>AND(#REF!,"AAAAADfp/is=")</f>
        <v>#REF!</v>
      </c>
      <c r="AS68" t="e">
        <f>AND(#REF!,"AAAAADfp/iw=")</f>
        <v>#REF!</v>
      </c>
      <c r="AT68" t="e">
        <f>AND(#REF!,"AAAAADfp/i0=")</f>
        <v>#REF!</v>
      </c>
      <c r="AU68" t="e">
        <f>AND(#REF!,"AAAAADfp/i4=")</f>
        <v>#REF!</v>
      </c>
      <c r="AV68" t="e">
        <f>AND(#REF!,"AAAAADfp/i8=")</f>
        <v>#REF!</v>
      </c>
      <c r="AW68" t="e">
        <f>AND(#REF!,"AAAAADfp/jA=")</f>
        <v>#REF!</v>
      </c>
      <c r="AX68" t="e">
        <f>AND(#REF!,"AAAAADfp/jE=")</f>
        <v>#REF!</v>
      </c>
      <c r="AY68" t="e">
        <f>AND(#REF!,"AAAAADfp/jI=")</f>
        <v>#REF!</v>
      </c>
      <c r="AZ68" t="e">
        <f>AND(#REF!,"AAAAADfp/jM=")</f>
        <v>#REF!</v>
      </c>
      <c r="BA68" t="e">
        <f>AND(#REF!,"AAAAADfp/jQ=")</f>
        <v>#REF!</v>
      </c>
      <c r="BB68" t="e">
        <f>AND(#REF!,"AAAAADfp/jU=")</f>
        <v>#REF!</v>
      </c>
      <c r="BC68" t="e">
        <f>AND(#REF!,"AAAAADfp/jY=")</f>
        <v>#REF!</v>
      </c>
      <c r="BD68" t="e">
        <f>AND(#REF!,"AAAAADfp/jc=")</f>
        <v>#REF!</v>
      </c>
      <c r="BE68" t="e">
        <f>AND(#REF!,"AAAAADfp/jg=")</f>
        <v>#REF!</v>
      </c>
      <c r="BF68" t="e">
        <f>AND(#REF!,"AAAAADfp/jk=")</f>
        <v>#REF!</v>
      </c>
      <c r="BG68" t="e">
        <f>AND(#REF!,"AAAAADfp/jo=")</f>
        <v>#REF!</v>
      </c>
      <c r="BH68" t="e">
        <f>AND(#REF!,"AAAAADfp/js=")</f>
        <v>#REF!</v>
      </c>
      <c r="BI68" t="e">
        <f>AND(#REF!,"AAAAADfp/jw=")</f>
        <v>#REF!</v>
      </c>
      <c r="BJ68" t="e">
        <f>AND(#REF!,"AAAAADfp/j0=")</f>
        <v>#REF!</v>
      </c>
      <c r="BK68" t="e">
        <f>AND(#REF!,"AAAAADfp/j4=")</f>
        <v>#REF!</v>
      </c>
      <c r="BL68" t="e">
        <f>AND(#REF!,"AAAAADfp/j8=")</f>
        <v>#REF!</v>
      </c>
      <c r="BM68" t="e">
        <f>AND(#REF!,"AAAAADfp/kA=")</f>
        <v>#REF!</v>
      </c>
      <c r="BN68" t="e">
        <f>AND(#REF!,"AAAAADfp/kE=")</f>
        <v>#REF!</v>
      </c>
      <c r="BO68" t="e">
        <f>AND(#REF!,"AAAAADfp/kI=")</f>
        <v>#REF!</v>
      </c>
      <c r="BP68" t="e">
        <f>AND(#REF!,"AAAAADfp/kM=")</f>
        <v>#REF!</v>
      </c>
      <c r="BQ68" t="e">
        <f>AND(#REF!,"AAAAADfp/kQ=")</f>
        <v>#REF!</v>
      </c>
      <c r="BR68" t="e">
        <f>AND(#REF!,"AAAAADfp/kU=")</f>
        <v>#REF!</v>
      </c>
      <c r="BS68" t="e">
        <f>AND(#REF!,"AAAAADfp/kY=")</f>
        <v>#REF!</v>
      </c>
      <c r="BT68" t="e">
        <f>AND(#REF!,"AAAAADfp/kc=")</f>
        <v>#REF!</v>
      </c>
      <c r="BU68" t="e">
        <f>AND(#REF!,"AAAAADfp/kg=")</f>
        <v>#REF!</v>
      </c>
      <c r="BV68" t="e">
        <f>AND(#REF!,"AAAAADfp/kk=")</f>
        <v>#REF!</v>
      </c>
      <c r="BW68" t="e">
        <f>AND(#REF!,"AAAAADfp/ko=")</f>
        <v>#REF!</v>
      </c>
      <c r="BX68" t="e">
        <f>AND(#REF!,"AAAAADfp/ks=")</f>
        <v>#REF!</v>
      </c>
      <c r="BY68" t="e">
        <f>AND(#REF!,"AAAAADfp/kw=")</f>
        <v>#REF!</v>
      </c>
      <c r="BZ68" t="e">
        <f>AND(#REF!,"AAAAADfp/k0=")</f>
        <v>#REF!</v>
      </c>
      <c r="CA68" t="e">
        <f>AND(#REF!,"AAAAADfp/k4=")</f>
        <v>#REF!</v>
      </c>
      <c r="CB68" t="e">
        <f>AND(#REF!,"AAAAADfp/k8=")</f>
        <v>#REF!</v>
      </c>
      <c r="CC68" t="e">
        <f>AND(#REF!,"AAAAADfp/lA=")</f>
        <v>#REF!</v>
      </c>
      <c r="CD68" t="e">
        <f>AND(#REF!,"AAAAADfp/lE=")</f>
        <v>#REF!</v>
      </c>
      <c r="CE68" t="e">
        <f>AND(#REF!,"AAAAADfp/lI=")</f>
        <v>#REF!</v>
      </c>
      <c r="CF68" t="e">
        <f>AND(#REF!,"AAAAADfp/lM=")</f>
        <v>#REF!</v>
      </c>
      <c r="CG68" t="e">
        <f>AND(#REF!,"AAAAADfp/lQ=")</f>
        <v>#REF!</v>
      </c>
      <c r="CH68" t="e">
        <f>AND(#REF!,"AAAAADfp/lU=")</f>
        <v>#REF!</v>
      </c>
      <c r="CI68" t="e">
        <f>AND(#REF!,"AAAAADfp/lY=")</f>
        <v>#REF!</v>
      </c>
      <c r="CJ68" t="e">
        <f>AND(#REF!,"AAAAADfp/lc=")</f>
        <v>#REF!</v>
      </c>
      <c r="CK68" t="e">
        <f>AND(#REF!,"AAAAADfp/lg=")</f>
        <v>#REF!</v>
      </c>
      <c r="CL68" t="e">
        <f>AND(#REF!,"AAAAADfp/lk=")</f>
        <v>#REF!</v>
      </c>
      <c r="CM68" t="e">
        <f>AND(#REF!,"AAAAADfp/lo=")</f>
        <v>#REF!</v>
      </c>
      <c r="CN68" t="e">
        <f>AND(#REF!,"AAAAADfp/ls=")</f>
        <v>#REF!</v>
      </c>
      <c r="CO68" t="e">
        <f>AND(#REF!,"AAAAADfp/lw=")</f>
        <v>#REF!</v>
      </c>
      <c r="CP68" t="e">
        <f>AND(#REF!,"AAAAADfp/l0=")</f>
        <v>#REF!</v>
      </c>
      <c r="CQ68" t="e">
        <f>AND(#REF!,"AAAAADfp/l4=")</f>
        <v>#REF!</v>
      </c>
      <c r="CR68" t="e">
        <f>AND(#REF!,"AAAAADfp/l8=")</f>
        <v>#REF!</v>
      </c>
      <c r="CS68" t="e">
        <f>AND(#REF!,"AAAAADfp/mA=")</f>
        <v>#REF!</v>
      </c>
      <c r="CT68" t="e">
        <f>AND(#REF!,"AAAAADfp/mE=")</f>
        <v>#REF!</v>
      </c>
      <c r="CU68" t="e">
        <f>IF(#REF!,"AAAAADfp/mI=",0)</f>
        <v>#REF!</v>
      </c>
      <c r="CV68" t="e">
        <f>AND(#REF!,"AAAAADfp/mM=")</f>
        <v>#REF!</v>
      </c>
      <c r="CW68" t="e">
        <f>AND(#REF!,"AAAAADfp/mQ=")</f>
        <v>#REF!</v>
      </c>
      <c r="CX68" t="e">
        <f>AND(#REF!,"AAAAADfp/mU=")</f>
        <v>#REF!</v>
      </c>
      <c r="CY68" t="e">
        <f>AND(#REF!,"AAAAADfp/mY=")</f>
        <v>#REF!</v>
      </c>
      <c r="CZ68" t="e">
        <f>AND(#REF!,"AAAAADfp/mc=")</f>
        <v>#REF!</v>
      </c>
      <c r="DA68" t="e">
        <f>AND(#REF!,"AAAAADfp/mg=")</f>
        <v>#REF!</v>
      </c>
      <c r="DB68" t="e">
        <f>AND(#REF!,"AAAAADfp/mk=")</f>
        <v>#REF!</v>
      </c>
      <c r="DC68" t="e">
        <f>AND(#REF!,"AAAAADfp/mo=")</f>
        <v>#REF!</v>
      </c>
      <c r="DD68" t="e">
        <f>AND(#REF!,"AAAAADfp/ms=")</f>
        <v>#REF!</v>
      </c>
      <c r="DE68" t="e">
        <f>AND(#REF!,"AAAAADfp/mw=")</f>
        <v>#REF!</v>
      </c>
      <c r="DF68" t="e">
        <f>AND(#REF!,"AAAAADfp/m0=")</f>
        <v>#REF!</v>
      </c>
      <c r="DG68" t="e">
        <f>AND(#REF!,"AAAAADfp/m4=")</f>
        <v>#REF!</v>
      </c>
      <c r="DH68" t="e">
        <f>AND(#REF!,"AAAAADfp/m8=")</f>
        <v>#REF!</v>
      </c>
      <c r="DI68" t="e">
        <f>AND(#REF!,"AAAAADfp/nA=")</f>
        <v>#REF!</v>
      </c>
      <c r="DJ68" t="e">
        <f>AND(#REF!,"AAAAADfp/nE=")</f>
        <v>#REF!</v>
      </c>
      <c r="DK68" t="e">
        <f>AND(#REF!,"AAAAADfp/nI=")</f>
        <v>#REF!</v>
      </c>
      <c r="DL68" t="e">
        <f>AND(#REF!,"AAAAADfp/nM=")</f>
        <v>#REF!</v>
      </c>
      <c r="DM68" t="e">
        <f>AND(#REF!,"AAAAADfp/nQ=")</f>
        <v>#REF!</v>
      </c>
      <c r="DN68" t="e">
        <f>AND(#REF!,"AAAAADfp/nU=")</f>
        <v>#REF!</v>
      </c>
      <c r="DO68" t="e">
        <f>AND(#REF!,"AAAAADfp/nY=")</f>
        <v>#REF!</v>
      </c>
      <c r="DP68" t="e">
        <f>AND(#REF!,"AAAAADfp/nc=")</f>
        <v>#REF!</v>
      </c>
      <c r="DQ68" t="e">
        <f>AND(#REF!,"AAAAADfp/ng=")</f>
        <v>#REF!</v>
      </c>
      <c r="DR68" t="e">
        <f>AND(#REF!,"AAAAADfp/nk=")</f>
        <v>#REF!</v>
      </c>
      <c r="DS68" t="e">
        <f>AND(#REF!,"AAAAADfp/no=")</f>
        <v>#REF!</v>
      </c>
      <c r="DT68" t="e">
        <f>AND(#REF!,"AAAAADfp/ns=")</f>
        <v>#REF!</v>
      </c>
      <c r="DU68" t="e">
        <f>AND(#REF!,"AAAAADfp/nw=")</f>
        <v>#REF!</v>
      </c>
      <c r="DV68" t="e">
        <f>AND(#REF!,"AAAAADfp/n0=")</f>
        <v>#REF!</v>
      </c>
      <c r="DW68" t="e">
        <f>AND(#REF!,"AAAAADfp/n4=")</f>
        <v>#REF!</v>
      </c>
      <c r="DX68" t="e">
        <f>AND(#REF!,"AAAAADfp/n8=")</f>
        <v>#REF!</v>
      </c>
      <c r="DY68" t="e">
        <f>AND(#REF!,"AAAAADfp/oA=")</f>
        <v>#REF!</v>
      </c>
      <c r="DZ68" t="e">
        <f>AND(#REF!,"AAAAADfp/oE=")</f>
        <v>#REF!</v>
      </c>
      <c r="EA68" t="e">
        <f>AND(#REF!,"AAAAADfp/oI=")</f>
        <v>#REF!</v>
      </c>
      <c r="EB68" t="e">
        <f>AND(#REF!,"AAAAADfp/oM=")</f>
        <v>#REF!</v>
      </c>
      <c r="EC68" t="e">
        <f>AND(#REF!,"AAAAADfp/oQ=")</f>
        <v>#REF!</v>
      </c>
      <c r="ED68" t="e">
        <f>AND(#REF!,"AAAAADfp/oU=")</f>
        <v>#REF!</v>
      </c>
      <c r="EE68" t="e">
        <f>AND(#REF!,"AAAAADfp/oY=")</f>
        <v>#REF!</v>
      </c>
      <c r="EF68" t="e">
        <f>AND(#REF!,"AAAAADfp/oc=")</f>
        <v>#REF!</v>
      </c>
      <c r="EG68" t="e">
        <f>AND(#REF!,"AAAAADfp/og=")</f>
        <v>#REF!</v>
      </c>
      <c r="EH68" t="e">
        <f>AND(#REF!,"AAAAADfp/ok=")</f>
        <v>#REF!</v>
      </c>
      <c r="EI68" t="e">
        <f>AND(#REF!,"AAAAADfp/oo=")</f>
        <v>#REF!</v>
      </c>
      <c r="EJ68" t="e">
        <f>AND(#REF!,"AAAAADfp/os=")</f>
        <v>#REF!</v>
      </c>
      <c r="EK68" t="e">
        <f>AND(#REF!,"AAAAADfp/ow=")</f>
        <v>#REF!</v>
      </c>
      <c r="EL68" t="e">
        <f>AND(#REF!,"AAAAADfp/o0=")</f>
        <v>#REF!</v>
      </c>
      <c r="EM68" t="e">
        <f>AND(#REF!,"AAAAADfp/o4=")</f>
        <v>#REF!</v>
      </c>
      <c r="EN68" t="e">
        <f>AND(#REF!,"AAAAADfp/o8=")</f>
        <v>#REF!</v>
      </c>
      <c r="EO68" t="e">
        <f>AND(#REF!,"AAAAADfp/pA=")</f>
        <v>#REF!</v>
      </c>
      <c r="EP68" t="e">
        <f>AND(#REF!,"AAAAADfp/pE=")</f>
        <v>#REF!</v>
      </c>
      <c r="EQ68" t="e">
        <f>AND(#REF!,"AAAAADfp/pI=")</f>
        <v>#REF!</v>
      </c>
      <c r="ER68" t="e">
        <f>AND(#REF!,"AAAAADfp/pM=")</f>
        <v>#REF!</v>
      </c>
      <c r="ES68" t="e">
        <f>AND(#REF!,"AAAAADfp/pQ=")</f>
        <v>#REF!</v>
      </c>
      <c r="ET68" t="e">
        <f>AND(#REF!,"AAAAADfp/pU=")</f>
        <v>#REF!</v>
      </c>
      <c r="EU68" t="e">
        <f>AND(#REF!,"AAAAADfp/pY=")</f>
        <v>#REF!</v>
      </c>
      <c r="EV68" t="e">
        <f>AND(#REF!,"AAAAADfp/pc=")</f>
        <v>#REF!</v>
      </c>
      <c r="EW68" t="e">
        <f>AND(#REF!,"AAAAADfp/pg=")</f>
        <v>#REF!</v>
      </c>
      <c r="EX68" t="e">
        <f>AND(#REF!,"AAAAADfp/pk=")</f>
        <v>#REF!</v>
      </c>
      <c r="EY68" t="e">
        <f>AND(#REF!,"AAAAADfp/po=")</f>
        <v>#REF!</v>
      </c>
      <c r="EZ68" t="e">
        <f>AND(#REF!,"AAAAADfp/ps=")</f>
        <v>#REF!</v>
      </c>
      <c r="FA68" t="e">
        <f>AND(#REF!,"AAAAADfp/pw=")</f>
        <v>#REF!</v>
      </c>
      <c r="FB68" t="e">
        <f>AND(#REF!,"AAAAADfp/p0=")</f>
        <v>#REF!</v>
      </c>
      <c r="FC68" t="e">
        <f>AND(#REF!,"AAAAADfp/p4=")</f>
        <v>#REF!</v>
      </c>
      <c r="FD68" t="e">
        <f>AND(#REF!,"AAAAADfp/p8=")</f>
        <v>#REF!</v>
      </c>
      <c r="FE68" t="e">
        <f>AND(#REF!,"AAAAADfp/qA=")</f>
        <v>#REF!</v>
      </c>
      <c r="FF68" t="e">
        <f>AND(#REF!,"AAAAADfp/qE=")</f>
        <v>#REF!</v>
      </c>
      <c r="FG68" t="e">
        <f>AND(#REF!,"AAAAADfp/qI=")</f>
        <v>#REF!</v>
      </c>
      <c r="FH68" t="e">
        <f>AND(#REF!,"AAAAADfp/qM=")</f>
        <v>#REF!</v>
      </c>
      <c r="FI68" t="e">
        <f>AND(#REF!,"AAAAADfp/qQ=")</f>
        <v>#REF!</v>
      </c>
      <c r="FJ68" t="e">
        <f>AND(#REF!,"AAAAADfp/qU=")</f>
        <v>#REF!</v>
      </c>
      <c r="FK68" t="e">
        <f>AND(#REF!,"AAAAADfp/qY=")</f>
        <v>#REF!</v>
      </c>
      <c r="FL68" t="e">
        <f>AND(#REF!,"AAAAADfp/qc=")</f>
        <v>#REF!</v>
      </c>
      <c r="FM68" t="e">
        <f>AND(#REF!,"AAAAADfp/qg=")</f>
        <v>#REF!</v>
      </c>
      <c r="FN68" t="e">
        <f>AND(#REF!,"AAAAADfp/qk=")</f>
        <v>#REF!</v>
      </c>
      <c r="FO68" t="e">
        <f>AND(#REF!,"AAAAADfp/qo=")</f>
        <v>#REF!</v>
      </c>
      <c r="FP68" t="e">
        <f>AND(#REF!,"AAAAADfp/qs=")</f>
        <v>#REF!</v>
      </c>
      <c r="FQ68" t="e">
        <f>AND(#REF!,"AAAAADfp/qw=")</f>
        <v>#REF!</v>
      </c>
      <c r="FR68" t="e">
        <f>IF(#REF!,"AAAAADfp/q0=",0)</f>
        <v>#REF!</v>
      </c>
      <c r="FS68" t="e">
        <f>AND(#REF!,"AAAAADfp/q4=")</f>
        <v>#REF!</v>
      </c>
      <c r="FT68" t="e">
        <f>AND(#REF!,"AAAAADfp/q8=")</f>
        <v>#REF!</v>
      </c>
      <c r="FU68" t="e">
        <f>AND(#REF!,"AAAAADfp/rA=")</f>
        <v>#REF!</v>
      </c>
      <c r="FV68" t="e">
        <f>AND(#REF!,"AAAAADfp/rE=")</f>
        <v>#REF!</v>
      </c>
      <c r="FW68" t="e">
        <f>AND(#REF!,"AAAAADfp/rI=")</f>
        <v>#REF!</v>
      </c>
      <c r="FX68" t="e">
        <f>AND(#REF!,"AAAAADfp/rM=")</f>
        <v>#REF!</v>
      </c>
      <c r="FY68" t="e">
        <f>AND(#REF!,"AAAAADfp/rQ=")</f>
        <v>#REF!</v>
      </c>
      <c r="FZ68" t="e">
        <f>AND(#REF!,"AAAAADfp/rU=")</f>
        <v>#REF!</v>
      </c>
      <c r="GA68" t="e">
        <f>AND(#REF!,"AAAAADfp/rY=")</f>
        <v>#REF!</v>
      </c>
      <c r="GB68" t="e">
        <f>AND(#REF!,"AAAAADfp/rc=")</f>
        <v>#REF!</v>
      </c>
      <c r="GC68" t="e">
        <f>AND(#REF!,"AAAAADfp/rg=")</f>
        <v>#REF!</v>
      </c>
      <c r="GD68" t="e">
        <f>AND(#REF!,"AAAAADfp/rk=")</f>
        <v>#REF!</v>
      </c>
      <c r="GE68" t="e">
        <f>AND(#REF!,"AAAAADfp/ro=")</f>
        <v>#REF!</v>
      </c>
      <c r="GF68" t="e">
        <f>AND(#REF!,"AAAAADfp/rs=")</f>
        <v>#REF!</v>
      </c>
      <c r="GG68" t="e">
        <f>AND(#REF!,"AAAAADfp/rw=")</f>
        <v>#REF!</v>
      </c>
      <c r="GH68" t="e">
        <f>AND(#REF!,"AAAAADfp/r0=")</f>
        <v>#REF!</v>
      </c>
      <c r="GI68" t="e">
        <f>AND(#REF!,"AAAAADfp/r4=")</f>
        <v>#REF!</v>
      </c>
      <c r="GJ68" t="e">
        <f>AND(#REF!,"AAAAADfp/r8=")</f>
        <v>#REF!</v>
      </c>
      <c r="GK68" t="e">
        <f>AND(#REF!,"AAAAADfp/sA=")</f>
        <v>#REF!</v>
      </c>
      <c r="GL68" t="e">
        <f>AND(#REF!,"AAAAADfp/sE=")</f>
        <v>#REF!</v>
      </c>
      <c r="GM68" t="e">
        <f>AND(#REF!,"AAAAADfp/sI=")</f>
        <v>#REF!</v>
      </c>
      <c r="GN68" t="e">
        <f>AND(#REF!,"AAAAADfp/sM=")</f>
        <v>#REF!</v>
      </c>
      <c r="GO68" t="e">
        <f>AND(#REF!,"AAAAADfp/sQ=")</f>
        <v>#REF!</v>
      </c>
      <c r="GP68" t="e">
        <f>AND(#REF!,"AAAAADfp/sU=")</f>
        <v>#REF!</v>
      </c>
      <c r="GQ68" t="e">
        <f>AND(#REF!,"AAAAADfp/sY=")</f>
        <v>#REF!</v>
      </c>
      <c r="GR68" t="e">
        <f>AND(#REF!,"AAAAADfp/sc=")</f>
        <v>#REF!</v>
      </c>
      <c r="GS68" t="e">
        <f>AND(#REF!,"AAAAADfp/sg=")</f>
        <v>#REF!</v>
      </c>
      <c r="GT68" t="e">
        <f>AND(#REF!,"AAAAADfp/sk=")</f>
        <v>#REF!</v>
      </c>
      <c r="GU68" t="e">
        <f>AND(#REF!,"AAAAADfp/so=")</f>
        <v>#REF!</v>
      </c>
      <c r="GV68" t="e">
        <f>AND(#REF!,"AAAAADfp/ss=")</f>
        <v>#REF!</v>
      </c>
      <c r="GW68" t="e">
        <f>AND(#REF!,"AAAAADfp/sw=")</f>
        <v>#REF!</v>
      </c>
      <c r="GX68" t="e">
        <f>AND(#REF!,"AAAAADfp/s0=")</f>
        <v>#REF!</v>
      </c>
      <c r="GY68" t="e">
        <f>AND(#REF!,"AAAAADfp/s4=")</f>
        <v>#REF!</v>
      </c>
      <c r="GZ68" t="e">
        <f>AND(#REF!,"AAAAADfp/s8=")</f>
        <v>#REF!</v>
      </c>
      <c r="HA68" t="e">
        <f>AND(#REF!,"AAAAADfp/tA=")</f>
        <v>#REF!</v>
      </c>
      <c r="HB68" t="e">
        <f>AND(#REF!,"AAAAADfp/tE=")</f>
        <v>#REF!</v>
      </c>
      <c r="HC68" t="e">
        <f>AND(#REF!,"AAAAADfp/tI=")</f>
        <v>#REF!</v>
      </c>
      <c r="HD68" t="e">
        <f>AND(#REF!,"AAAAADfp/tM=")</f>
        <v>#REF!</v>
      </c>
      <c r="HE68" t="e">
        <f>AND(#REF!,"AAAAADfp/tQ=")</f>
        <v>#REF!</v>
      </c>
      <c r="HF68" t="e">
        <f>AND(#REF!,"AAAAADfp/tU=")</f>
        <v>#REF!</v>
      </c>
      <c r="HG68" t="e">
        <f>AND(#REF!,"AAAAADfp/tY=")</f>
        <v>#REF!</v>
      </c>
      <c r="HH68" t="e">
        <f>AND(#REF!,"AAAAADfp/tc=")</f>
        <v>#REF!</v>
      </c>
      <c r="HI68" t="e">
        <f>AND(#REF!,"AAAAADfp/tg=")</f>
        <v>#REF!</v>
      </c>
      <c r="HJ68" t="e">
        <f>AND(#REF!,"AAAAADfp/tk=")</f>
        <v>#REF!</v>
      </c>
      <c r="HK68" t="e">
        <f>AND(#REF!,"AAAAADfp/to=")</f>
        <v>#REF!</v>
      </c>
      <c r="HL68" t="e">
        <f>AND(#REF!,"AAAAADfp/ts=")</f>
        <v>#REF!</v>
      </c>
      <c r="HM68" t="e">
        <f>AND(#REF!,"AAAAADfp/tw=")</f>
        <v>#REF!</v>
      </c>
      <c r="HN68" t="e">
        <f>AND(#REF!,"AAAAADfp/t0=")</f>
        <v>#REF!</v>
      </c>
      <c r="HO68" t="e">
        <f>AND(#REF!,"AAAAADfp/t4=")</f>
        <v>#REF!</v>
      </c>
      <c r="HP68" t="e">
        <f>AND(#REF!,"AAAAADfp/t8=")</f>
        <v>#REF!</v>
      </c>
      <c r="HQ68" t="e">
        <f>AND(#REF!,"AAAAADfp/uA=")</f>
        <v>#REF!</v>
      </c>
      <c r="HR68" t="e">
        <f>AND(#REF!,"AAAAADfp/uE=")</f>
        <v>#REF!</v>
      </c>
      <c r="HS68" t="e">
        <f>AND(#REF!,"AAAAADfp/uI=")</f>
        <v>#REF!</v>
      </c>
      <c r="HT68" t="e">
        <f>AND(#REF!,"AAAAADfp/uM=")</f>
        <v>#REF!</v>
      </c>
      <c r="HU68" t="e">
        <f>AND(#REF!,"AAAAADfp/uQ=")</f>
        <v>#REF!</v>
      </c>
      <c r="HV68" t="e">
        <f>AND(#REF!,"AAAAADfp/uU=")</f>
        <v>#REF!</v>
      </c>
      <c r="HW68" t="e">
        <f>AND(#REF!,"AAAAADfp/uY=")</f>
        <v>#REF!</v>
      </c>
      <c r="HX68" t="e">
        <f>AND(#REF!,"AAAAADfp/uc=")</f>
        <v>#REF!</v>
      </c>
      <c r="HY68" t="e">
        <f>AND(#REF!,"AAAAADfp/ug=")</f>
        <v>#REF!</v>
      </c>
      <c r="HZ68" t="e">
        <f>AND(#REF!,"AAAAADfp/uk=")</f>
        <v>#REF!</v>
      </c>
      <c r="IA68" t="e">
        <f>AND(#REF!,"AAAAADfp/uo=")</f>
        <v>#REF!</v>
      </c>
      <c r="IB68" t="e">
        <f>AND(#REF!,"AAAAADfp/us=")</f>
        <v>#REF!</v>
      </c>
      <c r="IC68" t="e">
        <f>AND(#REF!,"AAAAADfp/uw=")</f>
        <v>#REF!</v>
      </c>
      <c r="ID68" t="e">
        <f>AND(#REF!,"AAAAADfp/u0=")</f>
        <v>#REF!</v>
      </c>
      <c r="IE68" t="e">
        <f>AND(#REF!,"AAAAADfp/u4=")</f>
        <v>#REF!</v>
      </c>
      <c r="IF68" t="e">
        <f>AND(#REF!,"AAAAADfp/u8=")</f>
        <v>#REF!</v>
      </c>
      <c r="IG68" t="e">
        <f>AND(#REF!,"AAAAADfp/vA=")</f>
        <v>#REF!</v>
      </c>
      <c r="IH68" t="e">
        <f>AND(#REF!,"AAAAADfp/vE=")</f>
        <v>#REF!</v>
      </c>
      <c r="II68" t="e">
        <f>AND(#REF!,"AAAAADfp/vI=")</f>
        <v>#REF!</v>
      </c>
      <c r="IJ68" t="e">
        <f>AND(#REF!,"AAAAADfp/vM=")</f>
        <v>#REF!</v>
      </c>
      <c r="IK68" t="e">
        <f>AND(#REF!,"AAAAADfp/vQ=")</f>
        <v>#REF!</v>
      </c>
      <c r="IL68" t="e">
        <f>AND(#REF!,"AAAAADfp/vU=")</f>
        <v>#REF!</v>
      </c>
      <c r="IM68" t="e">
        <f>AND(#REF!,"AAAAADfp/vY=")</f>
        <v>#REF!</v>
      </c>
      <c r="IN68" t="e">
        <f>AND(#REF!,"AAAAADfp/vc=")</f>
        <v>#REF!</v>
      </c>
      <c r="IO68" t="e">
        <f>IF(#REF!,"AAAAADfp/vg=",0)</f>
        <v>#REF!</v>
      </c>
      <c r="IP68" t="e">
        <f>AND(#REF!,"AAAAADfp/vk=")</f>
        <v>#REF!</v>
      </c>
      <c r="IQ68" t="e">
        <f>AND(#REF!,"AAAAADfp/vo=")</f>
        <v>#REF!</v>
      </c>
      <c r="IR68" t="e">
        <f>AND(#REF!,"AAAAADfp/vs=")</f>
        <v>#REF!</v>
      </c>
      <c r="IS68" t="e">
        <f>AND(#REF!,"AAAAADfp/vw=")</f>
        <v>#REF!</v>
      </c>
      <c r="IT68" t="e">
        <f>AND(#REF!,"AAAAADfp/v0=")</f>
        <v>#REF!</v>
      </c>
      <c r="IU68" t="e">
        <f>AND(#REF!,"AAAAADfp/v4=")</f>
        <v>#REF!</v>
      </c>
      <c r="IV68" t="e">
        <f>AND(#REF!,"AAAAADfp/v8=")</f>
        <v>#REF!</v>
      </c>
    </row>
    <row r="69" spans="1:256" x14ac:dyDescent="0.2">
      <c r="A69" t="e">
        <f>AND(#REF!,"AAAAAH5/cwA=")</f>
        <v>#REF!</v>
      </c>
      <c r="B69" t="e">
        <f>AND(#REF!,"AAAAAH5/cwE=")</f>
        <v>#REF!</v>
      </c>
      <c r="C69" t="e">
        <f>AND(#REF!,"AAAAAH5/cwI=")</f>
        <v>#REF!</v>
      </c>
      <c r="D69" t="e">
        <f>AND(#REF!,"AAAAAH5/cwM=")</f>
        <v>#REF!</v>
      </c>
      <c r="E69" t="e">
        <f>AND(#REF!,"AAAAAH5/cwQ=")</f>
        <v>#REF!</v>
      </c>
      <c r="F69" t="e">
        <f>AND(#REF!,"AAAAAH5/cwU=")</f>
        <v>#REF!</v>
      </c>
      <c r="G69" t="e">
        <f>AND(#REF!,"AAAAAH5/cwY=")</f>
        <v>#REF!</v>
      </c>
      <c r="H69" t="e">
        <f>AND(#REF!,"AAAAAH5/cwc=")</f>
        <v>#REF!</v>
      </c>
      <c r="I69" t="e">
        <f>AND(#REF!,"AAAAAH5/cwg=")</f>
        <v>#REF!</v>
      </c>
      <c r="J69" t="e">
        <f>AND(#REF!,"AAAAAH5/cwk=")</f>
        <v>#REF!</v>
      </c>
      <c r="K69" t="e">
        <f>AND(#REF!,"AAAAAH5/cwo=")</f>
        <v>#REF!</v>
      </c>
      <c r="L69" t="e">
        <f>AND(#REF!,"AAAAAH5/cws=")</f>
        <v>#REF!</v>
      </c>
      <c r="M69" t="e">
        <f>AND(#REF!,"AAAAAH5/cww=")</f>
        <v>#REF!</v>
      </c>
      <c r="N69" t="e">
        <f>AND(#REF!,"AAAAAH5/cw0=")</f>
        <v>#REF!</v>
      </c>
      <c r="O69" t="e">
        <f>AND(#REF!,"AAAAAH5/cw4=")</f>
        <v>#REF!</v>
      </c>
      <c r="P69" t="e">
        <f>AND(#REF!,"AAAAAH5/cw8=")</f>
        <v>#REF!</v>
      </c>
      <c r="Q69" t="e">
        <f>AND(#REF!,"AAAAAH5/cxA=")</f>
        <v>#REF!</v>
      </c>
      <c r="R69" t="e">
        <f>AND(#REF!,"AAAAAH5/cxE=")</f>
        <v>#REF!</v>
      </c>
      <c r="S69" t="e">
        <f>AND(#REF!,"AAAAAH5/cxI=")</f>
        <v>#REF!</v>
      </c>
      <c r="T69" t="e">
        <f>AND(#REF!,"AAAAAH5/cxM=")</f>
        <v>#REF!</v>
      </c>
      <c r="U69" t="e">
        <f>AND(#REF!,"AAAAAH5/cxQ=")</f>
        <v>#REF!</v>
      </c>
      <c r="V69" t="e">
        <f>AND(#REF!,"AAAAAH5/cxU=")</f>
        <v>#REF!</v>
      </c>
      <c r="W69" t="e">
        <f>AND(#REF!,"AAAAAH5/cxY=")</f>
        <v>#REF!</v>
      </c>
      <c r="X69" t="e">
        <f>AND(#REF!,"AAAAAH5/cxc=")</f>
        <v>#REF!</v>
      </c>
      <c r="Y69" t="e">
        <f>AND(#REF!,"AAAAAH5/cxg=")</f>
        <v>#REF!</v>
      </c>
      <c r="Z69" t="e">
        <f>AND(#REF!,"AAAAAH5/cxk=")</f>
        <v>#REF!</v>
      </c>
      <c r="AA69" t="e">
        <f>AND(#REF!,"AAAAAH5/cxo=")</f>
        <v>#REF!</v>
      </c>
      <c r="AB69" t="e">
        <f>AND(#REF!,"AAAAAH5/cxs=")</f>
        <v>#REF!</v>
      </c>
      <c r="AC69" t="e">
        <f>AND(#REF!,"AAAAAH5/cxw=")</f>
        <v>#REF!</v>
      </c>
      <c r="AD69" t="e">
        <f>AND(#REF!,"AAAAAH5/cx0=")</f>
        <v>#REF!</v>
      </c>
      <c r="AE69" t="e">
        <f>AND(#REF!,"AAAAAH5/cx4=")</f>
        <v>#REF!</v>
      </c>
      <c r="AF69" t="e">
        <f>AND(#REF!,"AAAAAH5/cx8=")</f>
        <v>#REF!</v>
      </c>
      <c r="AG69" t="e">
        <f>AND(#REF!,"AAAAAH5/cyA=")</f>
        <v>#REF!</v>
      </c>
      <c r="AH69" t="e">
        <f>AND(#REF!,"AAAAAH5/cyE=")</f>
        <v>#REF!</v>
      </c>
      <c r="AI69" t="e">
        <f>AND(#REF!,"AAAAAH5/cyI=")</f>
        <v>#REF!</v>
      </c>
      <c r="AJ69" t="e">
        <f>AND(#REF!,"AAAAAH5/cyM=")</f>
        <v>#REF!</v>
      </c>
      <c r="AK69" t="e">
        <f>AND(#REF!,"AAAAAH5/cyQ=")</f>
        <v>#REF!</v>
      </c>
      <c r="AL69" t="e">
        <f>AND(#REF!,"AAAAAH5/cyU=")</f>
        <v>#REF!</v>
      </c>
      <c r="AM69" t="e">
        <f>AND(#REF!,"AAAAAH5/cyY=")</f>
        <v>#REF!</v>
      </c>
      <c r="AN69" t="e">
        <f>AND(#REF!,"AAAAAH5/cyc=")</f>
        <v>#REF!</v>
      </c>
      <c r="AO69" t="e">
        <f>AND(#REF!,"AAAAAH5/cyg=")</f>
        <v>#REF!</v>
      </c>
      <c r="AP69" t="e">
        <f>AND(#REF!,"AAAAAH5/cyk=")</f>
        <v>#REF!</v>
      </c>
      <c r="AQ69" t="e">
        <f>AND(#REF!,"AAAAAH5/cyo=")</f>
        <v>#REF!</v>
      </c>
      <c r="AR69" t="e">
        <f>AND(#REF!,"AAAAAH5/cys=")</f>
        <v>#REF!</v>
      </c>
      <c r="AS69" t="e">
        <f>AND(#REF!,"AAAAAH5/cyw=")</f>
        <v>#REF!</v>
      </c>
      <c r="AT69" t="e">
        <f>AND(#REF!,"AAAAAH5/cy0=")</f>
        <v>#REF!</v>
      </c>
      <c r="AU69" t="e">
        <f>AND(#REF!,"AAAAAH5/cy4=")</f>
        <v>#REF!</v>
      </c>
      <c r="AV69" t="e">
        <f>AND(#REF!,"AAAAAH5/cy8=")</f>
        <v>#REF!</v>
      </c>
      <c r="AW69" t="e">
        <f>AND(#REF!,"AAAAAH5/czA=")</f>
        <v>#REF!</v>
      </c>
      <c r="AX69" t="e">
        <f>AND(#REF!,"AAAAAH5/czE=")</f>
        <v>#REF!</v>
      </c>
      <c r="AY69" t="e">
        <f>AND(#REF!,"AAAAAH5/czI=")</f>
        <v>#REF!</v>
      </c>
      <c r="AZ69" t="e">
        <f>AND(#REF!,"AAAAAH5/czM=")</f>
        <v>#REF!</v>
      </c>
      <c r="BA69" t="e">
        <f>AND(#REF!,"AAAAAH5/czQ=")</f>
        <v>#REF!</v>
      </c>
      <c r="BB69" t="e">
        <f>AND(#REF!,"AAAAAH5/czU=")</f>
        <v>#REF!</v>
      </c>
      <c r="BC69" t="e">
        <f>AND(#REF!,"AAAAAH5/czY=")</f>
        <v>#REF!</v>
      </c>
      <c r="BD69" t="e">
        <f>AND(#REF!,"AAAAAH5/czc=")</f>
        <v>#REF!</v>
      </c>
      <c r="BE69" t="e">
        <f>AND(#REF!,"AAAAAH5/czg=")</f>
        <v>#REF!</v>
      </c>
      <c r="BF69" t="e">
        <f>AND(#REF!,"AAAAAH5/czk=")</f>
        <v>#REF!</v>
      </c>
      <c r="BG69" t="e">
        <f>AND(#REF!,"AAAAAH5/czo=")</f>
        <v>#REF!</v>
      </c>
      <c r="BH69" t="e">
        <f>AND(#REF!,"AAAAAH5/czs=")</f>
        <v>#REF!</v>
      </c>
      <c r="BI69" t="e">
        <f>AND(#REF!,"AAAAAH5/czw=")</f>
        <v>#REF!</v>
      </c>
      <c r="BJ69" t="e">
        <f>AND(#REF!,"AAAAAH5/cz0=")</f>
        <v>#REF!</v>
      </c>
      <c r="BK69" t="e">
        <f>AND(#REF!,"AAAAAH5/cz4=")</f>
        <v>#REF!</v>
      </c>
      <c r="BL69" t="e">
        <f>AND(#REF!,"AAAAAH5/cz8=")</f>
        <v>#REF!</v>
      </c>
      <c r="BM69" t="e">
        <f>AND(#REF!,"AAAAAH5/c0A=")</f>
        <v>#REF!</v>
      </c>
      <c r="BN69" t="e">
        <f>AND(#REF!,"AAAAAH5/c0E=")</f>
        <v>#REF!</v>
      </c>
      <c r="BO69" t="e">
        <f>AND(#REF!,"AAAAAH5/c0I=")</f>
        <v>#REF!</v>
      </c>
      <c r="BP69" t="e">
        <f>IF(#REF!,"AAAAAH5/c0M=",0)</f>
        <v>#REF!</v>
      </c>
      <c r="BQ69" t="e">
        <f>AND(#REF!,"AAAAAH5/c0Q=")</f>
        <v>#REF!</v>
      </c>
      <c r="BR69" t="e">
        <f>AND(#REF!,"AAAAAH5/c0U=")</f>
        <v>#REF!</v>
      </c>
      <c r="BS69" t="e">
        <f>AND(#REF!,"AAAAAH5/c0Y=")</f>
        <v>#REF!</v>
      </c>
      <c r="BT69" t="e">
        <f>AND(#REF!,"AAAAAH5/c0c=")</f>
        <v>#REF!</v>
      </c>
      <c r="BU69" t="e">
        <f>AND(#REF!,"AAAAAH5/c0g=")</f>
        <v>#REF!</v>
      </c>
      <c r="BV69" t="e">
        <f>AND(#REF!,"AAAAAH5/c0k=")</f>
        <v>#REF!</v>
      </c>
      <c r="BW69" t="e">
        <f>AND(#REF!,"AAAAAH5/c0o=")</f>
        <v>#REF!</v>
      </c>
      <c r="BX69" t="e">
        <f>AND(#REF!,"AAAAAH5/c0s=")</f>
        <v>#REF!</v>
      </c>
      <c r="BY69" t="e">
        <f>AND(#REF!,"AAAAAH5/c0w=")</f>
        <v>#REF!</v>
      </c>
      <c r="BZ69" t="e">
        <f>AND(#REF!,"AAAAAH5/c00=")</f>
        <v>#REF!</v>
      </c>
      <c r="CA69" t="e">
        <f>AND(#REF!,"AAAAAH5/c04=")</f>
        <v>#REF!</v>
      </c>
      <c r="CB69" t="e">
        <f>AND(#REF!,"AAAAAH5/c08=")</f>
        <v>#REF!</v>
      </c>
      <c r="CC69" t="e">
        <f>AND(#REF!,"AAAAAH5/c1A=")</f>
        <v>#REF!</v>
      </c>
      <c r="CD69" t="e">
        <f>AND(#REF!,"AAAAAH5/c1E=")</f>
        <v>#REF!</v>
      </c>
      <c r="CE69" t="e">
        <f>AND(#REF!,"AAAAAH5/c1I=")</f>
        <v>#REF!</v>
      </c>
      <c r="CF69" t="e">
        <f>AND(#REF!,"AAAAAH5/c1M=")</f>
        <v>#REF!</v>
      </c>
      <c r="CG69" t="e">
        <f>AND(#REF!,"AAAAAH5/c1Q=")</f>
        <v>#REF!</v>
      </c>
      <c r="CH69" t="e">
        <f>AND(#REF!,"AAAAAH5/c1U=")</f>
        <v>#REF!</v>
      </c>
      <c r="CI69" t="e">
        <f>AND(#REF!,"AAAAAH5/c1Y=")</f>
        <v>#REF!</v>
      </c>
      <c r="CJ69" t="e">
        <f>AND(#REF!,"AAAAAH5/c1c=")</f>
        <v>#REF!</v>
      </c>
      <c r="CK69" t="e">
        <f>AND(#REF!,"AAAAAH5/c1g=")</f>
        <v>#REF!</v>
      </c>
      <c r="CL69" t="e">
        <f>AND(#REF!,"AAAAAH5/c1k=")</f>
        <v>#REF!</v>
      </c>
      <c r="CM69" t="e">
        <f>AND(#REF!,"AAAAAH5/c1o=")</f>
        <v>#REF!</v>
      </c>
      <c r="CN69" t="e">
        <f>AND(#REF!,"AAAAAH5/c1s=")</f>
        <v>#REF!</v>
      </c>
      <c r="CO69" t="e">
        <f>AND(#REF!,"AAAAAH5/c1w=")</f>
        <v>#REF!</v>
      </c>
      <c r="CP69" t="e">
        <f>AND(#REF!,"AAAAAH5/c10=")</f>
        <v>#REF!</v>
      </c>
      <c r="CQ69" t="e">
        <f>AND(#REF!,"AAAAAH5/c14=")</f>
        <v>#REF!</v>
      </c>
      <c r="CR69" t="e">
        <f>AND(#REF!,"AAAAAH5/c18=")</f>
        <v>#REF!</v>
      </c>
      <c r="CS69" t="e">
        <f>AND(#REF!,"AAAAAH5/c2A=")</f>
        <v>#REF!</v>
      </c>
      <c r="CT69" t="e">
        <f>AND(#REF!,"AAAAAH5/c2E=")</f>
        <v>#REF!</v>
      </c>
      <c r="CU69" t="e">
        <f>AND(#REF!,"AAAAAH5/c2I=")</f>
        <v>#REF!</v>
      </c>
      <c r="CV69" t="e">
        <f>AND(#REF!,"AAAAAH5/c2M=")</f>
        <v>#REF!</v>
      </c>
      <c r="CW69" t="e">
        <f>AND(#REF!,"AAAAAH5/c2Q=")</f>
        <v>#REF!</v>
      </c>
      <c r="CX69" t="e">
        <f>AND(#REF!,"AAAAAH5/c2U=")</f>
        <v>#REF!</v>
      </c>
      <c r="CY69" t="e">
        <f>AND(#REF!,"AAAAAH5/c2Y=")</f>
        <v>#REF!</v>
      </c>
      <c r="CZ69" t="e">
        <f>AND(#REF!,"AAAAAH5/c2c=")</f>
        <v>#REF!</v>
      </c>
      <c r="DA69" t="e">
        <f>AND(#REF!,"AAAAAH5/c2g=")</f>
        <v>#REF!</v>
      </c>
      <c r="DB69" t="e">
        <f>AND(#REF!,"AAAAAH5/c2k=")</f>
        <v>#REF!</v>
      </c>
      <c r="DC69" t="e">
        <f>AND(#REF!,"AAAAAH5/c2o=")</f>
        <v>#REF!</v>
      </c>
      <c r="DD69" t="e">
        <f>AND(#REF!,"AAAAAH5/c2s=")</f>
        <v>#REF!</v>
      </c>
      <c r="DE69" t="e">
        <f>AND(#REF!,"AAAAAH5/c2w=")</f>
        <v>#REF!</v>
      </c>
      <c r="DF69" t="e">
        <f>AND(#REF!,"AAAAAH5/c20=")</f>
        <v>#REF!</v>
      </c>
      <c r="DG69" t="e">
        <f>AND(#REF!,"AAAAAH5/c24=")</f>
        <v>#REF!</v>
      </c>
      <c r="DH69" t="e">
        <f>AND(#REF!,"AAAAAH5/c28=")</f>
        <v>#REF!</v>
      </c>
      <c r="DI69" t="e">
        <f>AND(#REF!,"AAAAAH5/c3A=")</f>
        <v>#REF!</v>
      </c>
      <c r="DJ69" t="e">
        <f>AND(#REF!,"AAAAAH5/c3E=")</f>
        <v>#REF!</v>
      </c>
      <c r="DK69" t="e">
        <f>AND(#REF!,"AAAAAH5/c3I=")</f>
        <v>#REF!</v>
      </c>
      <c r="DL69" t="e">
        <f>AND(#REF!,"AAAAAH5/c3M=")</f>
        <v>#REF!</v>
      </c>
      <c r="DM69" t="e">
        <f>AND(#REF!,"AAAAAH5/c3Q=")</f>
        <v>#REF!</v>
      </c>
      <c r="DN69" t="e">
        <f>AND(#REF!,"AAAAAH5/c3U=")</f>
        <v>#REF!</v>
      </c>
      <c r="DO69" t="e">
        <f>AND(#REF!,"AAAAAH5/c3Y=")</f>
        <v>#REF!</v>
      </c>
      <c r="DP69" t="e">
        <f>AND(#REF!,"AAAAAH5/c3c=")</f>
        <v>#REF!</v>
      </c>
      <c r="DQ69" t="e">
        <f>AND(#REF!,"AAAAAH5/c3g=")</f>
        <v>#REF!</v>
      </c>
      <c r="DR69" t="e">
        <f>AND(#REF!,"AAAAAH5/c3k=")</f>
        <v>#REF!</v>
      </c>
      <c r="DS69" t="e">
        <f>AND(#REF!,"AAAAAH5/c3o=")</f>
        <v>#REF!</v>
      </c>
      <c r="DT69" t="e">
        <f>AND(#REF!,"AAAAAH5/c3s=")</f>
        <v>#REF!</v>
      </c>
      <c r="DU69" t="e">
        <f>AND(#REF!,"AAAAAH5/c3w=")</f>
        <v>#REF!</v>
      </c>
      <c r="DV69" t="e">
        <f>AND(#REF!,"AAAAAH5/c30=")</f>
        <v>#REF!</v>
      </c>
      <c r="DW69" t="e">
        <f>AND(#REF!,"AAAAAH5/c34=")</f>
        <v>#REF!</v>
      </c>
      <c r="DX69" t="e">
        <f>AND(#REF!,"AAAAAH5/c38=")</f>
        <v>#REF!</v>
      </c>
      <c r="DY69" t="e">
        <f>AND(#REF!,"AAAAAH5/c4A=")</f>
        <v>#REF!</v>
      </c>
      <c r="DZ69" t="e">
        <f>AND(#REF!,"AAAAAH5/c4E=")</f>
        <v>#REF!</v>
      </c>
      <c r="EA69" t="e">
        <f>AND(#REF!,"AAAAAH5/c4I=")</f>
        <v>#REF!</v>
      </c>
      <c r="EB69" t="e">
        <f>AND(#REF!,"AAAAAH5/c4M=")</f>
        <v>#REF!</v>
      </c>
      <c r="EC69" t="e">
        <f>AND(#REF!,"AAAAAH5/c4Q=")</f>
        <v>#REF!</v>
      </c>
      <c r="ED69" t="e">
        <f>AND(#REF!,"AAAAAH5/c4U=")</f>
        <v>#REF!</v>
      </c>
      <c r="EE69" t="e">
        <f>AND(#REF!,"AAAAAH5/c4Y=")</f>
        <v>#REF!</v>
      </c>
      <c r="EF69" t="e">
        <f>AND(#REF!,"AAAAAH5/c4c=")</f>
        <v>#REF!</v>
      </c>
      <c r="EG69" t="e">
        <f>AND(#REF!,"AAAAAH5/c4g=")</f>
        <v>#REF!</v>
      </c>
      <c r="EH69" t="e">
        <f>AND(#REF!,"AAAAAH5/c4k=")</f>
        <v>#REF!</v>
      </c>
      <c r="EI69" t="e">
        <f>AND(#REF!,"AAAAAH5/c4o=")</f>
        <v>#REF!</v>
      </c>
      <c r="EJ69" t="e">
        <f>AND(#REF!,"AAAAAH5/c4s=")</f>
        <v>#REF!</v>
      </c>
      <c r="EK69" t="e">
        <f>AND(#REF!,"AAAAAH5/c4w=")</f>
        <v>#REF!</v>
      </c>
      <c r="EL69" t="e">
        <f>AND(#REF!,"AAAAAH5/c40=")</f>
        <v>#REF!</v>
      </c>
      <c r="EM69" t="e">
        <f>IF(#REF!,"AAAAAH5/c44=",0)</f>
        <v>#REF!</v>
      </c>
      <c r="EN69" t="e">
        <f>AND(#REF!,"AAAAAH5/c48=")</f>
        <v>#REF!</v>
      </c>
      <c r="EO69" t="e">
        <f>AND(#REF!,"AAAAAH5/c5A=")</f>
        <v>#REF!</v>
      </c>
      <c r="EP69" t="e">
        <f>AND(#REF!,"AAAAAH5/c5E=")</f>
        <v>#REF!</v>
      </c>
      <c r="EQ69" t="e">
        <f>AND(#REF!,"AAAAAH5/c5I=")</f>
        <v>#REF!</v>
      </c>
      <c r="ER69" t="e">
        <f>AND(#REF!,"AAAAAH5/c5M=")</f>
        <v>#REF!</v>
      </c>
      <c r="ES69" t="e">
        <f>AND(#REF!,"AAAAAH5/c5Q=")</f>
        <v>#REF!</v>
      </c>
      <c r="ET69" t="e">
        <f>AND(#REF!,"AAAAAH5/c5U=")</f>
        <v>#REF!</v>
      </c>
      <c r="EU69" t="e">
        <f>AND(#REF!,"AAAAAH5/c5Y=")</f>
        <v>#REF!</v>
      </c>
      <c r="EV69" t="e">
        <f>AND(#REF!,"AAAAAH5/c5c=")</f>
        <v>#REF!</v>
      </c>
      <c r="EW69" t="e">
        <f>AND(#REF!,"AAAAAH5/c5g=")</f>
        <v>#REF!</v>
      </c>
      <c r="EX69" t="e">
        <f>AND(#REF!,"AAAAAH5/c5k=")</f>
        <v>#REF!</v>
      </c>
      <c r="EY69" t="e">
        <f>AND(#REF!,"AAAAAH5/c5o=")</f>
        <v>#REF!</v>
      </c>
      <c r="EZ69" t="e">
        <f>AND(#REF!,"AAAAAH5/c5s=")</f>
        <v>#REF!</v>
      </c>
      <c r="FA69" t="e">
        <f>AND(#REF!,"AAAAAH5/c5w=")</f>
        <v>#REF!</v>
      </c>
      <c r="FB69" t="e">
        <f>AND(#REF!,"AAAAAH5/c50=")</f>
        <v>#REF!</v>
      </c>
      <c r="FC69" t="e">
        <f>AND(#REF!,"AAAAAH5/c54=")</f>
        <v>#REF!</v>
      </c>
      <c r="FD69" t="e">
        <f>AND(#REF!,"AAAAAH5/c58=")</f>
        <v>#REF!</v>
      </c>
      <c r="FE69" t="e">
        <f>AND(#REF!,"AAAAAH5/c6A=")</f>
        <v>#REF!</v>
      </c>
      <c r="FF69" t="e">
        <f>AND(#REF!,"AAAAAH5/c6E=")</f>
        <v>#REF!</v>
      </c>
      <c r="FG69" t="e">
        <f>AND(#REF!,"AAAAAH5/c6I=")</f>
        <v>#REF!</v>
      </c>
      <c r="FH69" t="e">
        <f>AND(#REF!,"AAAAAH5/c6M=")</f>
        <v>#REF!</v>
      </c>
      <c r="FI69" t="e">
        <f>AND(#REF!,"AAAAAH5/c6Q=")</f>
        <v>#REF!</v>
      </c>
      <c r="FJ69" t="e">
        <f>AND(#REF!,"AAAAAH5/c6U=")</f>
        <v>#REF!</v>
      </c>
      <c r="FK69" t="e">
        <f>AND(#REF!,"AAAAAH5/c6Y=")</f>
        <v>#REF!</v>
      </c>
      <c r="FL69" t="e">
        <f>AND(#REF!,"AAAAAH5/c6c=")</f>
        <v>#REF!</v>
      </c>
      <c r="FM69" t="e">
        <f>AND(#REF!,"AAAAAH5/c6g=")</f>
        <v>#REF!</v>
      </c>
      <c r="FN69" t="e">
        <f>AND(#REF!,"AAAAAH5/c6k=")</f>
        <v>#REF!</v>
      </c>
      <c r="FO69" t="e">
        <f>AND(#REF!,"AAAAAH5/c6o=")</f>
        <v>#REF!</v>
      </c>
      <c r="FP69" t="e">
        <f>AND(#REF!,"AAAAAH5/c6s=")</f>
        <v>#REF!</v>
      </c>
      <c r="FQ69" t="e">
        <f>AND(#REF!,"AAAAAH5/c6w=")</f>
        <v>#REF!</v>
      </c>
      <c r="FR69" t="e">
        <f>AND(#REF!,"AAAAAH5/c60=")</f>
        <v>#REF!</v>
      </c>
      <c r="FS69" t="e">
        <f>AND(#REF!,"AAAAAH5/c64=")</f>
        <v>#REF!</v>
      </c>
      <c r="FT69" t="e">
        <f>AND(#REF!,"AAAAAH5/c68=")</f>
        <v>#REF!</v>
      </c>
      <c r="FU69" t="e">
        <f>AND(#REF!,"AAAAAH5/c7A=")</f>
        <v>#REF!</v>
      </c>
      <c r="FV69" t="e">
        <f>AND(#REF!,"AAAAAH5/c7E=")</f>
        <v>#REF!</v>
      </c>
      <c r="FW69" t="e">
        <f>AND(#REF!,"AAAAAH5/c7I=")</f>
        <v>#REF!</v>
      </c>
      <c r="FX69" t="e">
        <f>AND(#REF!,"AAAAAH5/c7M=")</f>
        <v>#REF!</v>
      </c>
      <c r="FY69" t="e">
        <f>AND(#REF!,"AAAAAH5/c7Q=")</f>
        <v>#REF!</v>
      </c>
      <c r="FZ69" t="e">
        <f>AND(#REF!,"AAAAAH5/c7U=")</f>
        <v>#REF!</v>
      </c>
      <c r="GA69" t="e">
        <f>AND(#REF!,"AAAAAH5/c7Y=")</f>
        <v>#REF!</v>
      </c>
      <c r="GB69" t="e">
        <f>AND(#REF!,"AAAAAH5/c7c=")</f>
        <v>#REF!</v>
      </c>
      <c r="GC69" t="e">
        <f>AND(#REF!,"AAAAAH5/c7g=")</f>
        <v>#REF!</v>
      </c>
      <c r="GD69" t="e">
        <f>AND(#REF!,"AAAAAH5/c7k=")</f>
        <v>#REF!</v>
      </c>
      <c r="GE69" t="e">
        <f>AND(#REF!,"AAAAAH5/c7o=")</f>
        <v>#REF!</v>
      </c>
      <c r="GF69" t="e">
        <f>AND(#REF!,"AAAAAH5/c7s=")</f>
        <v>#REF!</v>
      </c>
      <c r="GG69" t="e">
        <f>AND(#REF!,"AAAAAH5/c7w=")</f>
        <v>#REF!</v>
      </c>
      <c r="GH69" t="e">
        <f>AND(#REF!,"AAAAAH5/c70=")</f>
        <v>#REF!</v>
      </c>
      <c r="GI69" t="e">
        <f>AND(#REF!,"AAAAAH5/c74=")</f>
        <v>#REF!</v>
      </c>
      <c r="GJ69" t="e">
        <f>AND(#REF!,"AAAAAH5/c78=")</f>
        <v>#REF!</v>
      </c>
      <c r="GK69" t="e">
        <f>AND(#REF!,"AAAAAH5/c8A=")</f>
        <v>#REF!</v>
      </c>
      <c r="GL69" t="e">
        <f>AND(#REF!,"AAAAAH5/c8E=")</f>
        <v>#REF!</v>
      </c>
      <c r="GM69" t="e">
        <f>AND(#REF!,"AAAAAH5/c8I=")</f>
        <v>#REF!</v>
      </c>
      <c r="GN69" t="e">
        <f>AND(#REF!,"AAAAAH5/c8M=")</f>
        <v>#REF!</v>
      </c>
      <c r="GO69" t="e">
        <f>AND(#REF!,"AAAAAH5/c8Q=")</f>
        <v>#REF!</v>
      </c>
      <c r="GP69" t="e">
        <f>AND(#REF!,"AAAAAH5/c8U=")</f>
        <v>#REF!</v>
      </c>
      <c r="GQ69" t="e">
        <f>AND(#REF!,"AAAAAH5/c8Y=")</f>
        <v>#REF!</v>
      </c>
      <c r="GR69" t="e">
        <f>AND(#REF!,"AAAAAH5/c8c=")</f>
        <v>#REF!</v>
      </c>
      <c r="GS69" t="e">
        <f>AND(#REF!,"AAAAAH5/c8g=")</f>
        <v>#REF!</v>
      </c>
      <c r="GT69" t="e">
        <f>AND(#REF!,"AAAAAH5/c8k=")</f>
        <v>#REF!</v>
      </c>
      <c r="GU69" t="e">
        <f>AND(#REF!,"AAAAAH5/c8o=")</f>
        <v>#REF!</v>
      </c>
      <c r="GV69" t="e">
        <f>AND(#REF!,"AAAAAH5/c8s=")</f>
        <v>#REF!</v>
      </c>
      <c r="GW69" t="e">
        <f>AND(#REF!,"AAAAAH5/c8w=")</f>
        <v>#REF!</v>
      </c>
      <c r="GX69" t="e">
        <f>AND(#REF!,"AAAAAH5/c80=")</f>
        <v>#REF!</v>
      </c>
      <c r="GY69" t="e">
        <f>AND(#REF!,"AAAAAH5/c84=")</f>
        <v>#REF!</v>
      </c>
      <c r="GZ69" t="e">
        <f>AND(#REF!,"AAAAAH5/c88=")</f>
        <v>#REF!</v>
      </c>
      <c r="HA69" t="e">
        <f>AND(#REF!,"AAAAAH5/c9A=")</f>
        <v>#REF!</v>
      </c>
      <c r="HB69" t="e">
        <f>AND(#REF!,"AAAAAH5/c9E=")</f>
        <v>#REF!</v>
      </c>
      <c r="HC69" t="e">
        <f>AND(#REF!,"AAAAAH5/c9I=")</f>
        <v>#REF!</v>
      </c>
      <c r="HD69" t="e">
        <f>AND(#REF!,"AAAAAH5/c9M=")</f>
        <v>#REF!</v>
      </c>
      <c r="HE69" t="e">
        <f>AND(#REF!,"AAAAAH5/c9Q=")</f>
        <v>#REF!</v>
      </c>
      <c r="HF69" t="e">
        <f>AND(#REF!,"AAAAAH5/c9U=")</f>
        <v>#REF!</v>
      </c>
      <c r="HG69" t="e">
        <f>AND(#REF!,"AAAAAH5/c9Y=")</f>
        <v>#REF!</v>
      </c>
      <c r="HH69" t="e">
        <f>AND(#REF!,"AAAAAH5/c9c=")</f>
        <v>#REF!</v>
      </c>
      <c r="HI69" t="e">
        <f>AND(#REF!,"AAAAAH5/c9g=")</f>
        <v>#REF!</v>
      </c>
      <c r="HJ69" t="e">
        <f>IF(#REF!,"AAAAAH5/c9k=",0)</f>
        <v>#REF!</v>
      </c>
      <c r="HK69" t="e">
        <f>AND(#REF!,"AAAAAH5/c9o=")</f>
        <v>#REF!</v>
      </c>
      <c r="HL69" t="e">
        <f>AND(#REF!,"AAAAAH5/c9s=")</f>
        <v>#REF!</v>
      </c>
      <c r="HM69" t="e">
        <f>AND(#REF!,"AAAAAH5/c9w=")</f>
        <v>#REF!</v>
      </c>
      <c r="HN69" t="e">
        <f>AND(#REF!,"AAAAAH5/c90=")</f>
        <v>#REF!</v>
      </c>
      <c r="HO69" t="e">
        <f>AND(#REF!,"AAAAAH5/c94=")</f>
        <v>#REF!</v>
      </c>
      <c r="HP69" t="e">
        <f>AND(#REF!,"AAAAAH5/c98=")</f>
        <v>#REF!</v>
      </c>
      <c r="HQ69" t="e">
        <f>AND(#REF!,"AAAAAH5/c+A=")</f>
        <v>#REF!</v>
      </c>
      <c r="HR69" t="e">
        <f>AND(#REF!,"AAAAAH5/c+E=")</f>
        <v>#REF!</v>
      </c>
      <c r="HS69" t="e">
        <f>AND(#REF!,"AAAAAH5/c+I=")</f>
        <v>#REF!</v>
      </c>
      <c r="HT69" t="e">
        <f>AND(#REF!,"AAAAAH5/c+M=")</f>
        <v>#REF!</v>
      </c>
      <c r="HU69" t="e">
        <f>AND(#REF!,"AAAAAH5/c+Q=")</f>
        <v>#REF!</v>
      </c>
      <c r="HV69" t="e">
        <f>AND(#REF!,"AAAAAH5/c+U=")</f>
        <v>#REF!</v>
      </c>
      <c r="HW69" t="e">
        <f>AND(#REF!,"AAAAAH5/c+Y=")</f>
        <v>#REF!</v>
      </c>
      <c r="HX69" t="e">
        <f>AND(#REF!,"AAAAAH5/c+c=")</f>
        <v>#REF!</v>
      </c>
      <c r="HY69" t="e">
        <f>AND(#REF!,"AAAAAH5/c+g=")</f>
        <v>#REF!</v>
      </c>
      <c r="HZ69" t="e">
        <f>AND(#REF!,"AAAAAH5/c+k=")</f>
        <v>#REF!</v>
      </c>
      <c r="IA69" t="e">
        <f>AND(#REF!,"AAAAAH5/c+o=")</f>
        <v>#REF!</v>
      </c>
      <c r="IB69" t="e">
        <f>AND(#REF!,"AAAAAH5/c+s=")</f>
        <v>#REF!</v>
      </c>
      <c r="IC69" t="e">
        <f>AND(#REF!,"AAAAAH5/c+w=")</f>
        <v>#REF!</v>
      </c>
      <c r="ID69" t="e">
        <f>AND(#REF!,"AAAAAH5/c+0=")</f>
        <v>#REF!</v>
      </c>
      <c r="IE69" t="e">
        <f>AND(#REF!,"AAAAAH5/c+4=")</f>
        <v>#REF!</v>
      </c>
      <c r="IF69" t="e">
        <f>AND(#REF!,"AAAAAH5/c+8=")</f>
        <v>#REF!</v>
      </c>
      <c r="IG69" t="e">
        <f>AND(#REF!,"AAAAAH5/c/A=")</f>
        <v>#REF!</v>
      </c>
      <c r="IH69" t="e">
        <f>AND(#REF!,"AAAAAH5/c/E=")</f>
        <v>#REF!</v>
      </c>
      <c r="II69" t="e">
        <f>AND(#REF!,"AAAAAH5/c/I=")</f>
        <v>#REF!</v>
      </c>
      <c r="IJ69" t="e">
        <f>AND(#REF!,"AAAAAH5/c/M=")</f>
        <v>#REF!</v>
      </c>
      <c r="IK69" t="e">
        <f>AND(#REF!,"AAAAAH5/c/Q=")</f>
        <v>#REF!</v>
      </c>
      <c r="IL69" t="e">
        <f>AND(#REF!,"AAAAAH5/c/U=")</f>
        <v>#REF!</v>
      </c>
      <c r="IM69" t="e">
        <f>AND(#REF!,"AAAAAH5/c/Y=")</f>
        <v>#REF!</v>
      </c>
      <c r="IN69" t="e">
        <f>AND(#REF!,"AAAAAH5/c/c=")</f>
        <v>#REF!</v>
      </c>
      <c r="IO69" t="e">
        <f>AND(#REF!,"AAAAAH5/c/g=")</f>
        <v>#REF!</v>
      </c>
      <c r="IP69" t="e">
        <f>AND(#REF!,"AAAAAH5/c/k=")</f>
        <v>#REF!</v>
      </c>
      <c r="IQ69" t="e">
        <f>AND(#REF!,"AAAAAH5/c/o=")</f>
        <v>#REF!</v>
      </c>
      <c r="IR69" t="e">
        <f>AND(#REF!,"AAAAAH5/c/s=")</f>
        <v>#REF!</v>
      </c>
      <c r="IS69" t="e">
        <f>AND(#REF!,"AAAAAH5/c/w=")</f>
        <v>#REF!</v>
      </c>
      <c r="IT69" t="e">
        <f>AND(#REF!,"AAAAAH5/c/0=")</f>
        <v>#REF!</v>
      </c>
      <c r="IU69" t="e">
        <f>AND(#REF!,"AAAAAH5/c/4=")</f>
        <v>#REF!</v>
      </c>
      <c r="IV69" t="e">
        <f>AND(#REF!,"AAAAAH5/c/8=")</f>
        <v>#REF!</v>
      </c>
    </row>
    <row r="70" spans="1:256" x14ac:dyDescent="0.2">
      <c r="A70" t="e">
        <f>AND(#REF!,"AAAAAGt/uwA=")</f>
        <v>#REF!</v>
      </c>
      <c r="B70" t="e">
        <f>AND(#REF!,"AAAAAGt/uwE=")</f>
        <v>#REF!</v>
      </c>
      <c r="C70" t="e">
        <f>AND(#REF!,"AAAAAGt/uwI=")</f>
        <v>#REF!</v>
      </c>
      <c r="D70" t="e">
        <f>AND(#REF!,"AAAAAGt/uwM=")</f>
        <v>#REF!</v>
      </c>
      <c r="E70" t="e">
        <f>AND(#REF!,"AAAAAGt/uwQ=")</f>
        <v>#REF!</v>
      </c>
      <c r="F70" t="e">
        <f>AND(#REF!,"AAAAAGt/uwU=")</f>
        <v>#REF!</v>
      </c>
      <c r="G70" t="e">
        <f>AND(#REF!,"AAAAAGt/uwY=")</f>
        <v>#REF!</v>
      </c>
      <c r="H70" t="e">
        <f>AND(#REF!,"AAAAAGt/uwc=")</f>
        <v>#REF!</v>
      </c>
      <c r="I70" t="e">
        <f>AND(#REF!,"AAAAAGt/uwg=")</f>
        <v>#REF!</v>
      </c>
      <c r="J70" t="e">
        <f>AND(#REF!,"AAAAAGt/uwk=")</f>
        <v>#REF!</v>
      </c>
      <c r="K70" t="e">
        <f>AND(#REF!,"AAAAAGt/uwo=")</f>
        <v>#REF!</v>
      </c>
      <c r="L70" t="e">
        <f>AND(#REF!,"AAAAAGt/uws=")</f>
        <v>#REF!</v>
      </c>
      <c r="M70" t="e">
        <f>AND(#REF!,"AAAAAGt/uww=")</f>
        <v>#REF!</v>
      </c>
      <c r="N70" t="e">
        <f>AND(#REF!,"AAAAAGt/uw0=")</f>
        <v>#REF!</v>
      </c>
      <c r="O70" t="e">
        <f>AND(#REF!,"AAAAAGt/uw4=")</f>
        <v>#REF!</v>
      </c>
      <c r="P70" t="e">
        <f>AND(#REF!,"AAAAAGt/uw8=")</f>
        <v>#REF!</v>
      </c>
      <c r="Q70" t="e">
        <f>AND(#REF!,"AAAAAGt/uxA=")</f>
        <v>#REF!</v>
      </c>
      <c r="R70" t="e">
        <f>AND(#REF!,"AAAAAGt/uxE=")</f>
        <v>#REF!</v>
      </c>
      <c r="S70" t="e">
        <f>AND(#REF!,"AAAAAGt/uxI=")</f>
        <v>#REF!</v>
      </c>
      <c r="T70" t="e">
        <f>AND(#REF!,"AAAAAGt/uxM=")</f>
        <v>#REF!</v>
      </c>
      <c r="U70" t="e">
        <f>AND(#REF!,"AAAAAGt/uxQ=")</f>
        <v>#REF!</v>
      </c>
      <c r="V70" t="e">
        <f>AND(#REF!,"AAAAAGt/uxU=")</f>
        <v>#REF!</v>
      </c>
      <c r="W70" t="e">
        <f>AND(#REF!,"AAAAAGt/uxY=")</f>
        <v>#REF!</v>
      </c>
      <c r="X70" t="e">
        <f>AND(#REF!,"AAAAAGt/uxc=")</f>
        <v>#REF!</v>
      </c>
      <c r="Y70" t="e">
        <f>AND(#REF!,"AAAAAGt/uxg=")</f>
        <v>#REF!</v>
      </c>
      <c r="Z70" t="e">
        <f>AND(#REF!,"AAAAAGt/uxk=")</f>
        <v>#REF!</v>
      </c>
      <c r="AA70" t="e">
        <f>AND(#REF!,"AAAAAGt/uxo=")</f>
        <v>#REF!</v>
      </c>
      <c r="AB70" t="e">
        <f>AND(#REF!,"AAAAAGt/uxs=")</f>
        <v>#REF!</v>
      </c>
      <c r="AC70" t="e">
        <f>AND(#REF!,"AAAAAGt/uxw=")</f>
        <v>#REF!</v>
      </c>
      <c r="AD70" t="e">
        <f>AND(#REF!,"AAAAAGt/ux0=")</f>
        <v>#REF!</v>
      </c>
      <c r="AE70" t="e">
        <f>AND(#REF!,"AAAAAGt/ux4=")</f>
        <v>#REF!</v>
      </c>
      <c r="AF70" t="e">
        <f>AND(#REF!,"AAAAAGt/ux8=")</f>
        <v>#REF!</v>
      </c>
      <c r="AG70" t="e">
        <f>AND(#REF!,"AAAAAGt/uyA=")</f>
        <v>#REF!</v>
      </c>
      <c r="AH70" t="e">
        <f>AND(#REF!,"AAAAAGt/uyE=")</f>
        <v>#REF!</v>
      </c>
      <c r="AI70" t="e">
        <f>AND(#REF!,"AAAAAGt/uyI=")</f>
        <v>#REF!</v>
      </c>
      <c r="AJ70" t="e">
        <f>AND(#REF!,"AAAAAGt/uyM=")</f>
        <v>#REF!</v>
      </c>
      <c r="AK70" t="e">
        <f>IF(#REF!,"AAAAAGt/uyQ=",0)</f>
        <v>#REF!</v>
      </c>
      <c r="AL70" t="e">
        <f>AND(#REF!,"AAAAAGt/uyU=")</f>
        <v>#REF!</v>
      </c>
      <c r="AM70" t="e">
        <f>AND(#REF!,"AAAAAGt/uyY=")</f>
        <v>#REF!</v>
      </c>
      <c r="AN70" t="e">
        <f>AND(#REF!,"AAAAAGt/uyc=")</f>
        <v>#REF!</v>
      </c>
      <c r="AO70" t="e">
        <f>AND(#REF!,"AAAAAGt/uyg=")</f>
        <v>#REF!</v>
      </c>
      <c r="AP70" t="e">
        <f>AND(#REF!,"AAAAAGt/uyk=")</f>
        <v>#REF!</v>
      </c>
      <c r="AQ70" t="e">
        <f>AND(#REF!,"AAAAAGt/uyo=")</f>
        <v>#REF!</v>
      </c>
      <c r="AR70" t="e">
        <f>AND(#REF!,"AAAAAGt/uys=")</f>
        <v>#REF!</v>
      </c>
      <c r="AS70" t="e">
        <f>AND(#REF!,"AAAAAGt/uyw=")</f>
        <v>#REF!</v>
      </c>
      <c r="AT70" t="e">
        <f>AND(#REF!,"AAAAAGt/uy0=")</f>
        <v>#REF!</v>
      </c>
      <c r="AU70" t="e">
        <f>AND(#REF!,"AAAAAGt/uy4=")</f>
        <v>#REF!</v>
      </c>
      <c r="AV70" t="e">
        <f>AND(#REF!,"AAAAAGt/uy8=")</f>
        <v>#REF!</v>
      </c>
      <c r="AW70" t="e">
        <f>AND(#REF!,"AAAAAGt/uzA=")</f>
        <v>#REF!</v>
      </c>
      <c r="AX70" t="e">
        <f>AND(#REF!,"AAAAAGt/uzE=")</f>
        <v>#REF!</v>
      </c>
      <c r="AY70" t="e">
        <f>AND(#REF!,"AAAAAGt/uzI=")</f>
        <v>#REF!</v>
      </c>
      <c r="AZ70" t="e">
        <f>AND(#REF!,"AAAAAGt/uzM=")</f>
        <v>#REF!</v>
      </c>
      <c r="BA70" t="e">
        <f>AND(#REF!,"AAAAAGt/uzQ=")</f>
        <v>#REF!</v>
      </c>
      <c r="BB70" t="e">
        <f>AND(#REF!,"AAAAAGt/uzU=")</f>
        <v>#REF!</v>
      </c>
      <c r="BC70" t="e">
        <f>AND(#REF!,"AAAAAGt/uzY=")</f>
        <v>#REF!</v>
      </c>
      <c r="BD70" t="e">
        <f>AND(#REF!,"AAAAAGt/uzc=")</f>
        <v>#REF!</v>
      </c>
      <c r="BE70" t="e">
        <f>AND(#REF!,"AAAAAGt/uzg=")</f>
        <v>#REF!</v>
      </c>
      <c r="BF70" t="e">
        <f>AND(#REF!,"AAAAAGt/uzk=")</f>
        <v>#REF!</v>
      </c>
      <c r="BG70" t="e">
        <f>AND(#REF!,"AAAAAGt/uzo=")</f>
        <v>#REF!</v>
      </c>
      <c r="BH70" t="e">
        <f>AND(#REF!,"AAAAAGt/uzs=")</f>
        <v>#REF!</v>
      </c>
      <c r="BI70" t="e">
        <f>AND(#REF!,"AAAAAGt/uzw=")</f>
        <v>#REF!</v>
      </c>
      <c r="BJ70" t="e">
        <f>AND(#REF!,"AAAAAGt/uz0=")</f>
        <v>#REF!</v>
      </c>
      <c r="BK70" t="e">
        <f>AND(#REF!,"AAAAAGt/uz4=")</f>
        <v>#REF!</v>
      </c>
      <c r="BL70" t="e">
        <f>AND(#REF!,"AAAAAGt/uz8=")</f>
        <v>#REF!</v>
      </c>
      <c r="BM70" t="e">
        <f>AND(#REF!,"AAAAAGt/u0A=")</f>
        <v>#REF!</v>
      </c>
      <c r="BN70" t="e">
        <f>AND(#REF!,"AAAAAGt/u0E=")</f>
        <v>#REF!</v>
      </c>
      <c r="BO70" t="e">
        <f>AND(#REF!,"AAAAAGt/u0I=")</f>
        <v>#REF!</v>
      </c>
      <c r="BP70" t="e">
        <f>AND(#REF!,"AAAAAGt/u0M=")</f>
        <v>#REF!</v>
      </c>
      <c r="BQ70" t="e">
        <f>AND(#REF!,"AAAAAGt/u0Q=")</f>
        <v>#REF!</v>
      </c>
      <c r="BR70" t="e">
        <f>AND(#REF!,"AAAAAGt/u0U=")</f>
        <v>#REF!</v>
      </c>
      <c r="BS70" t="e">
        <f>AND(#REF!,"AAAAAGt/u0Y=")</f>
        <v>#REF!</v>
      </c>
      <c r="BT70" t="e">
        <f>AND(#REF!,"AAAAAGt/u0c=")</f>
        <v>#REF!</v>
      </c>
      <c r="BU70" t="e">
        <f>AND(#REF!,"AAAAAGt/u0g=")</f>
        <v>#REF!</v>
      </c>
      <c r="BV70" t="e">
        <f>AND(#REF!,"AAAAAGt/u0k=")</f>
        <v>#REF!</v>
      </c>
      <c r="BW70" t="e">
        <f>AND(#REF!,"AAAAAGt/u0o=")</f>
        <v>#REF!</v>
      </c>
      <c r="BX70" t="e">
        <f>AND(#REF!,"AAAAAGt/u0s=")</f>
        <v>#REF!</v>
      </c>
      <c r="BY70" t="e">
        <f>AND(#REF!,"AAAAAGt/u0w=")</f>
        <v>#REF!</v>
      </c>
      <c r="BZ70" t="e">
        <f>AND(#REF!,"AAAAAGt/u00=")</f>
        <v>#REF!</v>
      </c>
      <c r="CA70" t="e">
        <f>AND(#REF!,"AAAAAGt/u04=")</f>
        <v>#REF!</v>
      </c>
      <c r="CB70" t="e">
        <f>AND(#REF!,"AAAAAGt/u08=")</f>
        <v>#REF!</v>
      </c>
      <c r="CC70" t="e">
        <f>AND(#REF!,"AAAAAGt/u1A=")</f>
        <v>#REF!</v>
      </c>
      <c r="CD70" t="e">
        <f>AND(#REF!,"AAAAAGt/u1E=")</f>
        <v>#REF!</v>
      </c>
      <c r="CE70" t="e">
        <f>AND(#REF!,"AAAAAGt/u1I=")</f>
        <v>#REF!</v>
      </c>
      <c r="CF70" t="e">
        <f>AND(#REF!,"AAAAAGt/u1M=")</f>
        <v>#REF!</v>
      </c>
      <c r="CG70" t="e">
        <f>AND(#REF!,"AAAAAGt/u1Q=")</f>
        <v>#REF!</v>
      </c>
      <c r="CH70" t="e">
        <f>AND(#REF!,"AAAAAGt/u1U=")</f>
        <v>#REF!</v>
      </c>
      <c r="CI70" t="e">
        <f>AND(#REF!,"AAAAAGt/u1Y=")</f>
        <v>#REF!</v>
      </c>
      <c r="CJ70" t="e">
        <f>AND(#REF!,"AAAAAGt/u1c=")</f>
        <v>#REF!</v>
      </c>
      <c r="CK70" t="e">
        <f>AND(#REF!,"AAAAAGt/u1g=")</f>
        <v>#REF!</v>
      </c>
      <c r="CL70" t="e">
        <f>AND(#REF!,"AAAAAGt/u1k=")</f>
        <v>#REF!</v>
      </c>
      <c r="CM70" t="e">
        <f>AND(#REF!,"AAAAAGt/u1o=")</f>
        <v>#REF!</v>
      </c>
      <c r="CN70" t="e">
        <f>AND(#REF!,"AAAAAGt/u1s=")</f>
        <v>#REF!</v>
      </c>
      <c r="CO70" t="e">
        <f>AND(#REF!,"AAAAAGt/u1w=")</f>
        <v>#REF!</v>
      </c>
      <c r="CP70" t="e">
        <f>AND(#REF!,"AAAAAGt/u10=")</f>
        <v>#REF!</v>
      </c>
      <c r="CQ70" t="e">
        <f>AND(#REF!,"AAAAAGt/u14=")</f>
        <v>#REF!</v>
      </c>
      <c r="CR70" t="e">
        <f>AND(#REF!,"AAAAAGt/u18=")</f>
        <v>#REF!</v>
      </c>
      <c r="CS70" t="e">
        <f>AND(#REF!,"AAAAAGt/u2A=")</f>
        <v>#REF!</v>
      </c>
      <c r="CT70" t="e">
        <f>AND(#REF!,"AAAAAGt/u2E=")</f>
        <v>#REF!</v>
      </c>
      <c r="CU70" t="e">
        <f>AND(#REF!,"AAAAAGt/u2I=")</f>
        <v>#REF!</v>
      </c>
      <c r="CV70" t="e">
        <f>AND(#REF!,"AAAAAGt/u2M=")</f>
        <v>#REF!</v>
      </c>
      <c r="CW70" t="e">
        <f>AND(#REF!,"AAAAAGt/u2Q=")</f>
        <v>#REF!</v>
      </c>
      <c r="CX70" t="e">
        <f>AND(#REF!,"AAAAAGt/u2U=")</f>
        <v>#REF!</v>
      </c>
      <c r="CY70" t="e">
        <f>AND(#REF!,"AAAAAGt/u2Y=")</f>
        <v>#REF!</v>
      </c>
      <c r="CZ70" t="e">
        <f>AND(#REF!,"AAAAAGt/u2c=")</f>
        <v>#REF!</v>
      </c>
      <c r="DA70" t="e">
        <f>AND(#REF!,"AAAAAGt/u2g=")</f>
        <v>#REF!</v>
      </c>
      <c r="DB70" t="e">
        <f>AND(#REF!,"AAAAAGt/u2k=")</f>
        <v>#REF!</v>
      </c>
      <c r="DC70" t="e">
        <f>AND(#REF!,"AAAAAGt/u2o=")</f>
        <v>#REF!</v>
      </c>
      <c r="DD70" t="e">
        <f>AND(#REF!,"AAAAAGt/u2s=")</f>
        <v>#REF!</v>
      </c>
      <c r="DE70" t="e">
        <f>AND(#REF!,"AAAAAGt/u2w=")</f>
        <v>#REF!</v>
      </c>
      <c r="DF70" t="e">
        <f>AND(#REF!,"AAAAAGt/u20=")</f>
        <v>#REF!</v>
      </c>
      <c r="DG70" t="e">
        <f>AND(#REF!,"AAAAAGt/u24=")</f>
        <v>#REF!</v>
      </c>
      <c r="DH70" t="e">
        <f>IF(#REF!,"AAAAAGt/u28=",0)</f>
        <v>#REF!</v>
      </c>
      <c r="DI70" t="e">
        <f>AND(#REF!,"AAAAAGt/u3A=")</f>
        <v>#REF!</v>
      </c>
      <c r="DJ70" t="e">
        <f>AND(#REF!,"AAAAAGt/u3E=")</f>
        <v>#REF!</v>
      </c>
      <c r="DK70" t="e">
        <f>AND(#REF!,"AAAAAGt/u3I=")</f>
        <v>#REF!</v>
      </c>
      <c r="DL70" t="e">
        <f>AND(#REF!,"AAAAAGt/u3M=")</f>
        <v>#REF!</v>
      </c>
      <c r="DM70" t="e">
        <f>AND(#REF!,"AAAAAGt/u3Q=")</f>
        <v>#REF!</v>
      </c>
      <c r="DN70" t="e">
        <f>AND(#REF!,"AAAAAGt/u3U=")</f>
        <v>#REF!</v>
      </c>
      <c r="DO70" t="e">
        <f>AND(#REF!,"AAAAAGt/u3Y=")</f>
        <v>#REF!</v>
      </c>
      <c r="DP70" t="e">
        <f>AND(#REF!,"AAAAAGt/u3c=")</f>
        <v>#REF!</v>
      </c>
      <c r="DQ70" t="e">
        <f>AND(#REF!,"AAAAAGt/u3g=")</f>
        <v>#REF!</v>
      </c>
      <c r="DR70" t="e">
        <f>AND(#REF!,"AAAAAGt/u3k=")</f>
        <v>#REF!</v>
      </c>
      <c r="DS70" t="e">
        <f>AND(#REF!,"AAAAAGt/u3o=")</f>
        <v>#REF!</v>
      </c>
      <c r="DT70" t="e">
        <f>AND(#REF!,"AAAAAGt/u3s=")</f>
        <v>#REF!</v>
      </c>
      <c r="DU70" t="e">
        <f>AND(#REF!,"AAAAAGt/u3w=")</f>
        <v>#REF!</v>
      </c>
      <c r="DV70" t="e">
        <f>AND(#REF!,"AAAAAGt/u30=")</f>
        <v>#REF!</v>
      </c>
      <c r="DW70" t="e">
        <f>AND(#REF!,"AAAAAGt/u34=")</f>
        <v>#REF!</v>
      </c>
      <c r="DX70" t="e">
        <f>AND(#REF!,"AAAAAGt/u38=")</f>
        <v>#REF!</v>
      </c>
      <c r="DY70" t="e">
        <f>AND(#REF!,"AAAAAGt/u4A=")</f>
        <v>#REF!</v>
      </c>
      <c r="DZ70" t="e">
        <f>AND(#REF!,"AAAAAGt/u4E=")</f>
        <v>#REF!</v>
      </c>
      <c r="EA70" t="e">
        <f>AND(#REF!,"AAAAAGt/u4I=")</f>
        <v>#REF!</v>
      </c>
      <c r="EB70" t="e">
        <f>AND(#REF!,"AAAAAGt/u4M=")</f>
        <v>#REF!</v>
      </c>
      <c r="EC70" t="e">
        <f>AND(#REF!,"AAAAAGt/u4Q=")</f>
        <v>#REF!</v>
      </c>
      <c r="ED70" t="e">
        <f>AND(#REF!,"AAAAAGt/u4U=")</f>
        <v>#REF!</v>
      </c>
      <c r="EE70" t="e">
        <f>AND(#REF!,"AAAAAGt/u4Y=")</f>
        <v>#REF!</v>
      </c>
      <c r="EF70" t="e">
        <f>AND(#REF!,"AAAAAGt/u4c=")</f>
        <v>#REF!</v>
      </c>
      <c r="EG70" t="e">
        <f>AND(#REF!,"AAAAAGt/u4g=")</f>
        <v>#REF!</v>
      </c>
      <c r="EH70" t="e">
        <f>AND(#REF!,"AAAAAGt/u4k=")</f>
        <v>#REF!</v>
      </c>
      <c r="EI70" t="e">
        <f>AND(#REF!,"AAAAAGt/u4o=")</f>
        <v>#REF!</v>
      </c>
      <c r="EJ70" t="e">
        <f>AND(#REF!,"AAAAAGt/u4s=")</f>
        <v>#REF!</v>
      </c>
      <c r="EK70" t="e">
        <f>AND(#REF!,"AAAAAGt/u4w=")</f>
        <v>#REF!</v>
      </c>
      <c r="EL70" t="e">
        <f>AND(#REF!,"AAAAAGt/u40=")</f>
        <v>#REF!</v>
      </c>
      <c r="EM70" t="e">
        <f>AND(#REF!,"AAAAAGt/u44=")</f>
        <v>#REF!</v>
      </c>
      <c r="EN70" t="e">
        <f>AND(#REF!,"AAAAAGt/u48=")</f>
        <v>#REF!</v>
      </c>
      <c r="EO70" t="e">
        <f>AND(#REF!,"AAAAAGt/u5A=")</f>
        <v>#REF!</v>
      </c>
      <c r="EP70" t="e">
        <f>AND(#REF!,"AAAAAGt/u5E=")</f>
        <v>#REF!</v>
      </c>
      <c r="EQ70" t="e">
        <f>AND(#REF!,"AAAAAGt/u5I=")</f>
        <v>#REF!</v>
      </c>
      <c r="ER70" t="e">
        <f>AND(#REF!,"AAAAAGt/u5M=")</f>
        <v>#REF!</v>
      </c>
      <c r="ES70" t="e">
        <f>AND(#REF!,"AAAAAGt/u5Q=")</f>
        <v>#REF!</v>
      </c>
      <c r="ET70" t="e">
        <f>AND(#REF!,"AAAAAGt/u5U=")</f>
        <v>#REF!</v>
      </c>
      <c r="EU70" t="e">
        <f>AND(#REF!,"AAAAAGt/u5Y=")</f>
        <v>#REF!</v>
      </c>
      <c r="EV70" t="e">
        <f>AND(#REF!,"AAAAAGt/u5c=")</f>
        <v>#REF!</v>
      </c>
      <c r="EW70" t="e">
        <f>AND(#REF!,"AAAAAGt/u5g=")</f>
        <v>#REF!</v>
      </c>
      <c r="EX70" t="e">
        <f>AND(#REF!,"AAAAAGt/u5k=")</f>
        <v>#REF!</v>
      </c>
      <c r="EY70" t="e">
        <f>AND(#REF!,"AAAAAGt/u5o=")</f>
        <v>#REF!</v>
      </c>
      <c r="EZ70" t="e">
        <f>AND(#REF!,"AAAAAGt/u5s=")</f>
        <v>#REF!</v>
      </c>
      <c r="FA70" t="e">
        <f>AND(#REF!,"AAAAAGt/u5w=")</f>
        <v>#REF!</v>
      </c>
      <c r="FB70" t="e">
        <f>AND(#REF!,"AAAAAGt/u50=")</f>
        <v>#REF!</v>
      </c>
      <c r="FC70" t="e">
        <f>AND(#REF!,"AAAAAGt/u54=")</f>
        <v>#REF!</v>
      </c>
      <c r="FD70" t="e">
        <f>AND(#REF!,"AAAAAGt/u58=")</f>
        <v>#REF!</v>
      </c>
      <c r="FE70" t="e">
        <f>AND(#REF!,"AAAAAGt/u6A=")</f>
        <v>#REF!</v>
      </c>
      <c r="FF70" t="e">
        <f>AND(#REF!,"AAAAAGt/u6E=")</f>
        <v>#REF!</v>
      </c>
      <c r="FG70" t="e">
        <f>AND(#REF!,"AAAAAGt/u6I=")</f>
        <v>#REF!</v>
      </c>
      <c r="FH70" t="e">
        <f>AND(#REF!,"AAAAAGt/u6M=")</f>
        <v>#REF!</v>
      </c>
      <c r="FI70" t="e">
        <f>AND(#REF!,"AAAAAGt/u6Q=")</f>
        <v>#REF!</v>
      </c>
      <c r="FJ70" t="e">
        <f>AND(#REF!,"AAAAAGt/u6U=")</f>
        <v>#REF!</v>
      </c>
      <c r="FK70" t="e">
        <f>AND(#REF!,"AAAAAGt/u6Y=")</f>
        <v>#REF!</v>
      </c>
      <c r="FL70" t="e">
        <f>AND(#REF!,"AAAAAGt/u6c=")</f>
        <v>#REF!</v>
      </c>
      <c r="FM70" t="e">
        <f>AND(#REF!,"AAAAAGt/u6g=")</f>
        <v>#REF!</v>
      </c>
      <c r="FN70" t="e">
        <f>AND(#REF!,"AAAAAGt/u6k=")</f>
        <v>#REF!</v>
      </c>
      <c r="FO70" t="e">
        <f>AND(#REF!,"AAAAAGt/u6o=")</f>
        <v>#REF!</v>
      </c>
      <c r="FP70" t="e">
        <f>AND(#REF!,"AAAAAGt/u6s=")</f>
        <v>#REF!</v>
      </c>
      <c r="FQ70" t="e">
        <f>AND(#REF!,"AAAAAGt/u6w=")</f>
        <v>#REF!</v>
      </c>
      <c r="FR70" t="e">
        <f>AND(#REF!,"AAAAAGt/u60=")</f>
        <v>#REF!</v>
      </c>
      <c r="FS70" t="e">
        <f>AND(#REF!,"AAAAAGt/u64=")</f>
        <v>#REF!</v>
      </c>
      <c r="FT70" t="e">
        <f>AND(#REF!,"AAAAAGt/u68=")</f>
        <v>#REF!</v>
      </c>
      <c r="FU70" t="e">
        <f>AND(#REF!,"AAAAAGt/u7A=")</f>
        <v>#REF!</v>
      </c>
      <c r="FV70" t="e">
        <f>AND(#REF!,"AAAAAGt/u7E=")</f>
        <v>#REF!</v>
      </c>
      <c r="FW70" t="e">
        <f>AND(#REF!,"AAAAAGt/u7I=")</f>
        <v>#REF!</v>
      </c>
      <c r="FX70" t="e">
        <f>AND(#REF!,"AAAAAGt/u7M=")</f>
        <v>#REF!</v>
      </c>
      <c r="FY70" t="e">
        <f>AND(#REF!,"AAAAAGt/u7Q=")</f>
        <v>#REF!</v>
      </c>
      <c r="FZ70" t="e">
        <f>AND(#REF!,"AAAAAGt/u7U=")</f>
        <v>#REF!</v>
      </c>
      <c r="GA70" t="e">
        <f>AND(#REF!,"AAAAAGt/u7Y=")</f>
        <v>#REF!</v>
      </c>
      <c r="GB70" t="e">
        <f>AND(#REF!,"AAAAAGt/u7c=")</f>
        <v>#REF!</v>
      </c>
      <c r="GC70" t="e">
        <f>AND(#REF!,"AAAAAGt/u7g=")</f>
        <v>#REF!</v>
      </c>
      <c r="GD70" t="e">
        <f>AND(#REF!,"AAAAAGt/u7k=")</f>
        <v>#REF!</v>
      </c>
      <c r="GE70" t="e">
        <f>IF(#REF!,"AAAAAGt/u7o=",0)</f>
        <v>#REF!</v>
      </c>
      <c r="GF70" t="e">
        <f>AND(#REF!,"AAAAAGt/u7s=")</f>
        <v>#REF!</v>
      </c>
      <c r="GG70" t="e">
        <f>AND(#REF!,"AAAAAGt/u7w=")</f>
        <v>#REF!</v>
      </c>
      <c r="GH70" t="e">
        <f>AND(#REF!,"AAAAAGt/u70=")</f>
        <v>#REF!</v>
      </c>
      <c r="GI70" t="e">
        <f>AND(#REF!,"AAAAAGt/u74=")</f>
        <v>#REF!</v>
      </c>
      <c r="GJ70" t="e">
        <f>AND(#REF!,"AAAAAGt/u78=")</f>
        <v>#REF!</v>
      </c>
      <c r="GK70" t="e">
        <f>AND(#REF!,"AAAAAGt/u8A=")</f>
        <v>#REF!</v>
      </c>
      <c r="GL70" t="e">
        <f>AND(#REF!,"AAAAAGt/u8E=")</f>
        <v>#REF!</v>
      </c>
      <c r="GM70" t="e">
        <f>AND(#REF!,"AAAAAGt/u8I=")</f>
        <v>#REF!</v>
      </c>
      <c r="GN70" t="e">
        <f>AND(#REF!,"AAAAAGt/u8M=")</f>
        <v>#REF!</v>
      </c>
      <c r="GO70" t="e">
        <f>AND(#REF!,"AAAAAGt/u8Q=")</f>
        <v>#REF!</v>
      </c>
      <c r="GP70" t="e">
        <f>AND(#REF!,"AAAAAGt/u8U=")</f>
        <v>#REF!</v>
      </c>
      <c r="GQ70" t="e">
        <f>AND(#REF!,"AAAAAGt/u8Y=")</f>
        <v>#REF!</v>
      </c>
      <c r="GR70" t="e">
        <f>AND(#REF!,"AAAAAGt/u8c=")</f>
        <v>#REF!</v>
      </c>
      <c r="GS70" t="e">
        <f>AND(#REF!,"AAAAAGt/u8g=")</f>
        <v>#REF!</v>
      </c>
      <c r="GT70" t="e">
        <f>AND(#REF!,"AAAAAGt/u8k=")</f>
        <v>#REF!</v>
      </c>
      <c r="GU70" t="e">
        <f>AND(#REF!,"AAAAAGt/u8o=")</f>
        <v>#REF!</v>
      </c>
      <c r="GV70" t="e">
        <f>AND(#REF!,"AAAAAGt/u8s=")</f>
        <v>#REF!</v>
      </c>
      <c r="GW70" t="e">
        <f>AND(#REF!,"AAAAAGt/u8w=")</f>
        <v>#REF!</v>
      </c>
      <c r="GX70" t="e">
        <f>AND(#REF!,"AAAAAGt/u80=")</f>
        <v>#REF!</v>
      </c>
      <c r="GY70" t="e">
        <f>AND(#REF!,"AAAAAGt/u84=")</f>
        <v>#REF!</v>
      </c>
      <c r="GZ70" t="e">
        <f>AND(#REF!,"AAAAAGt/u88=")</f>
        <v>#REF!</v>
      </c>
      <c r="HA70" t="e">
        <f>AND(#REF!,"AAAAAGt/u9A=")</f>
        <v>#REF!</v>
      </c>
      <c r="HB70" t="e">
        <f>AND(#REF!,"AAAAAGt/u9E=")</f>
        <v>#REF!</v>
      </c>
      <c r="HC70" t="e">
        <f>AND(#REF!,"AAAAAGt/u9I=")</f>
        <v>#REF!</v>
      </c>
      <c r="HD70" t="e">
        <f>AND(#REF!,"AAAAAGt/u9M=")</f>
        <v>#REF!</v>
      </c>
      <c r="HE70" t="e">
        <f>AND(#REF!,"AAAAAGt/u9Q=")</f>
        <v>#REF!</v>
      </c>
      <c r="HF70" t="e">
        <f>AND(#REF!,"AAAAAGt/u9U=")</f>
        <v>#REF!</v>
      </c>
      <c r="HG70" t="e">
        <f>AND(#REF!,"AAAAAGt/u9Y=")</f>
        <v>#REF!</v>
      </c>
      <c r="HH70" t="e">
        <f>AND(#REF!,"AAAAAGt/u9c=")</f>
        <v>#REF!</v>
      </c>
      <c r="HI70" t="e">
        <f>AND(#REF!,"AAAAAGt/u9g=")</f>
        <v>#REF!</v>
      </c>
      <c r="HJ70" t="e">
        <f>AND(#REF!,"AAAAAGt/u9k=")</f>
        <v>#REF!</v>
      </c>
      <c r="HK70" t="e">
        <f>AND(#REF!,"AAAAAGt/u9o=")</f>
        <v>#REF!</v>
      </c>
      <c r="HL70" t="e">
        <f>AND(#REF!,"AAAAAGt/u9s=")</f>
        <v>#REF!</v>
      </c>
      <c r="HM70" t="e">
        <f>AND(#REF!,"AAAAAGt/u9w=")</f>
        <v>#REF!</v>
      </c>
      <c r="HN70" t="e">
        <f>AND(#REF!,"AAAAAGt/u90=")</f>
        <v>#REF!</v>
      </c>
      <c r="HO70" t="e">
        <f>AND(#REF!,"AAAAAGt/u94=")</f>
        <v>#REF!</v>
      </c>
      <c r="HP70" t="e">
        <f>AND(#REF!,"AAAAAGt/u98=")</f>
        <v>#REF!</v>
      </c>
      <c r="HQ70" t="e">
        <f>AND(#REF!,"AAAAAGt/u+A=")</f>
        <v>#REF!</v>
      </c>
      <c r="HR70" t="e">
        <f>AND(#REF!,"AAAAAGt/u+E=")</f>
        <v>#REF!</v>
      </c>
      <c r="HS70" t="e">
        <f>AND(#REF!,"AAAAAGt/u+I=")</f>
        <v>#REF!</v>
      </c>
      <c r="HT70" t="e">
        <f>AND(#REF!,"AAAAAGt/u+M=")</f>
        <v>#REF!</v>
      </c>
      <c r="HU70" t="e">
        <f>AND(#REF!,"AAAAAGt/u+Q=")</f>
        <v>#REF!</v>
      </c>
      <c r="HV70" t="e">
        <f>AND(#REF!,"AAAAAGt/u+U=")</f>
        <v>#REF!</v>
      </c>
      <c r="HW70" t="e">
        <f>AND(#REF!,"AAAAAGt/u+Y=")</f>
        <v>#REF!</v>
      </c>
      <c r="HX70" t="e">
        <f>AND(#REF!,"AAAAAGt/u+c=")</f>
        <v>#REF!</v>
      </c>
      <c r="HY70" t="e">
        <f>AND(#REF!,"AAAAAGt/u+g=")</f>
        <v>#REF!</v>
      </c>
      <c r="HZ70" t="e">
        <f>AND(#REF!,"AAAAAGt/u+k=")</f>
        <v>#REF!</v>
      </c>
      <c r="IA70" t="e">
        <f>AND(#REF!,"AAAAAGt/u+o=")</f>
        <v>#REF!</v>
      </c>
      <c r="IB70" t="e">
        <f>AND(#REF!,"AAAAAGt/u+s=")</f>
        <v>#REF!</v>
      </c>
      <c r="IC70" t="e">
        <f>AND(#REF!,"AAAAAGt/u+w=")</f>
        <v>#REF!</v>
      </c>
      <c r="ID70" t="e">
        <f>AND(#REF!,"AAAAAGt/u+0=")</f>
        <v>#REF!</v>
      </c>
      <c r="IE70" t="e">
        <f>AND(#REF!,"AAAAAGt/u+4=")</f>
        <v>#REF!</v>
      </c>
      <c r="IF70" t="e">
        <f>AND(#REF!,"AAAAAGt/u+8=")</f>
        <v>#REF!</v>
      </c>
      <c r="IG70" t="e">
        <f>AND(#REF!,"AAAAAGt/u/A=")</f>
        <v>#REF!</v>
      </c>
      <c r="IH70" t="e">
        <f>AND(#REF!,"AAAAAGt/u/E=")</f>
        <v>#REF!</v>
      </c>
      <c r="II70" t="e">
        <f>AND(#REF!,"AAAAAGt/u/I=")</f>
        <v>#REF!</v>
      </c>
      <c r="IJ70" t="e">
        <f>AND(#REF!,"AAAAAGt/u/M=")</f>
        <v>#REF!</v>
      </c>
      <c r="IK70" t="e">
        <f>AND(#REF!,"AAAAAGt/u/Q=")</f>
        <v>#REF!</v>
      </c>
      <c r="IL70" t="e">
        <f>AND(#REF!,"AAAAAGt/u/U=")</f>
        <v>#REF!</v>
      </c>
      <c r="IM70" t="e">
        <f>AND(#REF!,"AAAAAGt/u/Y=")</f>
        <v>#REF!</v>
      </c>
      <c r="IN70" t="e">
        <f>AND(#REF!,"AAAAAGt/u/c=")</f>
        <v>#REF!</v>
      </c>
      <c r="IO70" t="e">
        <f>AND(#REF!,"AAAAAGt/u/g=")</f>
        <v>#REF!</v>
      </c>
      <c r="IP70" t="e">
        <f>AND(#REF!,"AAAAAGt/u/k=")</f>
        <v>#REF!</v>
      </c>
      <c r="IQ70" t="e">
        <f>AND(#REF!,"AAAAAGt/u/o=")</f>
        <v>#REF!</v>
      </c>
      <c r="IR70" t="e">
        <f>AND(#REF!,"AAAAAGt/u/s=")</f>
        <v>#REF!</v>
      </c>
      <c r="IS70" t="e">
        <f>AND(#REF!,"AAAAAGt/u/w=")</f>
        <v>#REF!</v>
      </c>
      <c r="IT70" t="e">
        <f>AND(#REF!,"AAAAAGt/u/0=")</f>
        <v>#REF!</v>
      </c>
      <c r="IU70" t="e">
        <f>AND(#REF!,"AAAAAGt/u/4=")</f>
        <v>#REF!</v>
      </c>
      <c r="IV70" t="e">
        <f>AND(#REF!,"AAAAAGt/u/8=")</f>
        <v>#REF!</v>
      </c>
    </row>
    <row r="71" spans="1:256" x14ac:dyDescent="0.2">
      <c r="A71" t="e">
        <f>AND(#REF!,"AAAAADrw7gA=")</f>
        <v>#REF!</v>
      </c>
      <c r="B71" t="e">
        <f>AND(#REF!,"AAAAADrw7gE=")</f>
        <v>#REF!</v>
      </c>
      <c r="C71" t="e">
        <f>AND(#REF!,"AAAAADrw7gI=")</f>
        <v>#REF!</v>
      </c>
      <c r="D71" t="e">
        <f>AND(#REF!,"AAAAADrw7gM=")</f>
        <v>#REF!</v>
      </c>
      <c r="E71" t="e">
        <f>AND(#REF!,"AAAAADrw7gQ=")</f>
        <v>#REF!</v>
      </c>
      <c r="F71" t="e">
        <f>IF(#REF!,"AAAAADrw7gU=",0)</f>
        <v>#REF!</v>
      </c>
      <c r="G71" t="e">
        <f>AND(#REF!,"AAAAADrw7gY=")</f>
        <v>#REF!</v>
      </c>
      <c r="H71" t="e">
        <f>AND(#REF!,"AAAAADrw7gc=")</f>
        <v>#REF!</v>
      </c>
      <c r="I71" t="e">
        <f>AND(#REF!,"AAAAADrw7gg=")</f>
        <v>#REF!</v>
      </c>
      <c r="J71" t="e">
        <f>AND(#REF!,"AAAAADrw7gk=")</f>
        <v>#REF!</v>
      </c>
      <c r="K71" t="e">
        <f>AND(#REF!,"AAAAADrw7go=")</f>
        <v>#REF!</v>
      </c>
      <c r="L71" t="e">
        <f>AND(#REF!,"AAAAADrw7gs=")</f>
        <v>#REF!</v>
      </c>
      <c r="M71" t="e">
        <f>AND(#REF!,"AAAAADrw7gw=")</f>
        <v>#REF!</v>
      </c>
      <c r="N71" t="e">
        <f>AND(#REF!,"AAAAADrw7g0=")</f>
        <v>#REF!</v>
      </c>
      <c r="O71" t="e">
        <f>AND(#REF!,"AAAAADrw7g4=")</f>
        <v>#REF!</v>
      </c>
      <c r="P71" t="e">
        <f>AND(#REF!,"AAAAADrw7g8=")</f>
        <v>#REF!</v>
      </c>
      <c r="Q71" t="e">
        <f>AND(#REF!,"AAAAADrw7hA=")</f>
        <v>#REF!</v>
      </c>
      <c r="R71" t="e">
        <f>AND(#REF!,"AAAAADrw7hE=")</f>
        <v>#REF!</v>
      </c>
      <c r="S71" t="e">
        <f>AND(#REF!,"AAAAADrw7hI=")</f>
        <v>#REF!</v>
      </c>
      <c r="T71" t="e">
        <f>AND(#REF!,"AAAAADrw7hM=")</f>
        <v>#REF!</v>
      </c>
      <c r="U71" t="e">
        <f>AND(#REF!,"AAAAADrw7hQ=")</f>
        <v>#REF!</v>
      </c>
      <c r="V71" t="e">
        <f>AND(#REF!,"AAAAADrw7hU=")</f>
        <v>#REF!</v>
      </c>
      <c r="W71" t="e">
        <f>AND(#REF!,"AAAAADrw7hY=")</f>
        <v>#REF!</v>
      </c>
      <c r="X71" t="e">
        <f>AND(#REF!,"AAAAADrw7hc=")</f>
        <v>#REF!</v>
      </c>
      <c r="Y71" t="e">
        <f>AND(#REF!,"AAAAADrw7hg=")</f>
        <v>#REF!</v>
      </c>
      <c r="Z71" t="e">
        <f>AND(#REF!,"AAAAADrw7hk=")</f>
        <v>#REF!</v>
      </c>
      <c r="AA71" t="e">
        <f>AND(#REF!,"AAAAADrw7ho=")</f>
        <v>#REF!</v>
      </c>
      <c r="AB71" t="e">
        <f>AND(#REF!,"AAAAADrw7hs=")</f>
        <v>#REF!</v>
      </c>
      <c r="AC71" t="e">
        <f>AND(#REF!,"AAAAADrw7hw=")</f>
        <v>#REF!</v>
      </c>
      <c r="AD71" t="e">
        <f>AND(#REF!,"AAAAADrw7h0=")</f>
        <v>#REF!</v>
      </c>
      <c r="AE71" t="e">
        <f>AND(#REF!,"AAAAADrw7h4=")</f>
        <v>#REF!</v>
      </c>
      <c r="AF71" t="e">
        <f>AND(#REF!,"AAAAADrw7h8=")</f>
        <v>#REF!</v>
      </c>
      <c r="AG71" t="e">
        <f>AND(#REF!,"AAAAADrw7iA=")</f>
        <v>#REF!</v>
      </c>
      <c r="AH71" t="e">
        <f>AND(#REF!,"AAAAADrw7iE=")</f>
        <v>#REF!</v>
      </c>
      <c r="AI71" t="e">
        <f>AND(#REF!,"AAAAADrw7iI=")</f>
        <v>#REF!</v>
      </c>
      <c r="AJ71" t="e">
        <f>AND(#REF!,"AAAAADrw7iM=")</f>
        <v>#REF!</v>
      </c>
      <c r="AK71" t="e">
        <f>AND(#REF!,"AAAAADrw7iQ=")</f>
        <v>#REF!</v>
      </c>
      <c r="AL71" t="e">
        <f>AND(#REF!,"AAAAADrw7iU=")</f>
        <v>#REF!</v>
      </c>
      <c r="AM71" t="e">
        <f>AND(#REF!,"AAAAADrw7iY=")</f>
        <v>#REF!</v>
      </c>
      <c r="AN71" t="e">
        <f>AND(#REF!,"AAAAADrw7ic=")</f>
        <v>#REF!</v>
      </c>
      <c r="AO71" t="e">
        <f>AND(#REF!,"AAAAADrw7ig=")</f>
        <v>#REF!</v>
      </c>
      <c r="AP71" t="e">
        <f>AND(#REF!,"AAAAADrw7ik=")</f>
        <v>#REF!</v>
      </c>
      <c r="AQ71" t="e">
        <f>AND(#REF!,"AAAAADrw7io=")</f>
        <v>#REF!</v>
      </c>
      <c r="AR71" t="e">
        <f>AND(#REF!,"AAAAADrw7is=")</f>
        <v>#REF!</v>
      </c>
      <c r="AS71" t="e">
        <f>AND(#REF!,"AAAAADrw7iw=")</f>
        <v>#REF!</v>
      </c>
      <c r="AT71" t="e">
        <f>AND(#REF!,"AAAAADrw7i0=")</f>
        <v>#REF!</v>
      </c>
      <c r="AU71" t="e">
        <f>AND(#REF!,"AAAAADrw7i4=")</f>
        <v>#REF!</v>
      </c>
      <c r="AV71" t="e">
        <f>AND(#REF!,"AAAAADrw7i8=")</f>
        <v>#REF!</v>
      </c>
      <c r="AW71" t="e">
        <f>AND(#REF!,"AAAAADrw7jA=")</f>
        <v>#REF!</v>
      </c>
      <c r="AX71" t="e">
        <f>AND(#REF!,"AAAAADrw7jE=")</f>
        <v>#REF!</v>
      </c>
      <c r="AY71" t="e">
        <f>AND(#REF!,"AAAAADrw7jI=")</f>
        <v>#REF!</v>
      </c>
      <c r="AZ71" t="e">
        <f>AND(#REF!,"AAAAADrw7jM=")</f>
        <v>#REF!</v>
      </c>
      <c r="BA71" t="e">
        <f>AND(#REF!,"AAAAADrw7jQ=")</f>
        <v>#REF!</v>
      </c>
      <c r="BB71" t="e">
        <f>AND(#REF!,"AAAAADrw7jU=")</f>
        <v>#REF!</v>
      </c>
      <c r="BC71" t="e">
        <f>AND(#REF!,"AAAAADrw7jY=")</f>
        <v>#REF!</v>
      </c>
      <c r="BD71" t="e">
        <f>AND(#REF!,"AAAAADrw7jc=")</f>
        <v>#REF!</v>
      </c>
      <c r="BE71" t="e">
        <f>AND(#REF!,"AAAAADrw7jg=")</f>
        <v>#REF!</v>
      </c>
      <c r="BF71" t="e">
        <f>AND(#REF!,"AAAAADrw7jk=")</f>
        <v>#REF!</v>
      </c>
      <c r="BG71" t="e">
        <f>AND(#REF!,"AAAAADrw7jo=")</f>
        <v>#REF!</v>
      </c>
      <c r="BH71" t="e">
        <f>AND(#REF!,"AAAAADrw7js=")</f>
        <v>#REF!</v>
      </c>
      <c r="BI71" t="e">
        <f>AND(#REF!,"AAAAADrw7jw=")</f>
        <v>#REF!</v>
      </c>
      <c r="BJ71" t="e">
        <f>AND(#REF!,"AAAAADrw7j0=")</f>
        <v>#REF!</v>
      </c>
      <c r="BK71" t="e">
        <f>AND(#REF!,"AAAAADrw7j4=")</f>
        <v>#REF!</v>
      </c>
      <c r="BL71" t="e">
        <f>AND(#REF!,"AAAAADrw7j8=")</f>
        <v>#REF!</v>
      </c>
      <c r="BM71" t="e">
        <f>AND(#REF!,"AAAAADrw7kA=")</f>
        <v>#REF!</v>
      </c>
      <c r="BN71" t="e">
        <f>AND(#REF!,"AAAAADrw7kE=")</f>
        <v>#REF!</v>
      </c>
      <c r="BO71" t="e">
        <f>AND(#REF!,"AAAAADrw7kI=")</f>
        <v>#REF!</v>
      </c>
      <c r="BP71" t="e">
        <f>AND(#REF!,"AAAAADrw7kM=")</f>
        <v>#REF!</v>
      </c>
      <c r="BQ71" t="e">
        <f>AND(#REF!,"AAAAADrw7kQ=")</f>
        <v>#REF!</v>
      </c>
      <c r="BR71" t="e">
        <f>AND(#REF!,"AAAAADrw7kU=")</f>
        <v>#REF!</v>
      </c>
      <c r="BS71" t="e">
        <f>AND(#REF!,"AAAAADrw7kY=")</f>
        <v>#REF!</v>
      </c>
      <c r="BT71" t="e">
        <f>AND(#REF!,"AAAAADrw7kc=")</f>
        <v>#REF!</v>
      </c>
      <c r="BU71" t="e">
        <f>AND(#REF!,"AAAAADrw7kg=")</f>
        <v>#REF!</v>
      </c>
      <c r="BV71" t="e">
        <f>AND(#REF!,"AAAAADrw7kk=")</f>
        <v>#REF!</v>
      </c>
      <c r="BW71" t="e">
        <f>AND(#REF!,"AAAAADrw7ko=")</f>
        <v>#REF!</v>
      </c>
      <c r="BX71" t="e">
        <f>AND(#REF!,"AAAAADrw7ks=")</f>
        <v>#REF!</v>
      </c>
      <c r="BY71" t="e">
        <f>AND(#REF!,"AAAAADrw7kw=")</f>
        <v>#REF!</v>
      </c>
      <c r="BZ71" t="e">
        <f>AND(#REF!,"AAAAADrw7k0=")</f>
        <v>#REF!</v>
      </c>
      <c r="CA71" t="e">
        <f>AND(#REF!,"AAAAADrw7k4=")</f>
        <v>#REF!</v>
      </c>
      <c r="CB71" t="e">
        <f>AND(#REF!,"AAAAADrw7k8=")</f>
        <v>#REF!</v>
      </c>
      <c r="CC71" t="e">
        <f>IF(#REF!,"AAAAADrw7lA=",0)</f>
        <v>#REF!</v>
      </c>
      <c r="CD71" t="e">
        <f>AND(#REF!,"AAAAADrw7lE=")</f>
        <v>#REF!</v>
      </c>
      <c r="CE71" t="e">
        <f>AND(#REF!,"AAAAADrw7lI=")</f>
        <v>#REF!</v>
      </c>
      <c r="CF71" t="e">
        <f>AND(#REF!,"AAAAADrw7lM=")</f>
        <v>#REF!</v>
      </c>
      <c r="CG71" t="e">
        <f>AND(#REF!,"AAAAADrw7lQ=")</f>
        <v>#REF!</v>
      </c>
      <c r="CH71" t="e">
        <f>AND(#REF!,"AAAAADrw7lU=")</f>
        <v>#REF!</v>
      </c>
      <c r="CI71" t="e">
        <f>AND(#REF!,"AAAAADrw7lY=")</f>
        <v>#REF!</v>
      </c>
      <c r="CJ71" t="e">
        <f>AND(#REF!,"AAAAADrw7lc=")</f>
        <v>#REF!</v>
      </c>
      <c r="CK71" t="e">
        <f>AND(#REF!,"AAAAADrw7lg=")</f>
        <v>#REF!</v>
      </c>
      <c r="CL71" t="e">
        <f>AND(#REF!,"AAAAADrw7lk=")</f>
        <v>#REF!</v>
      </c>
      <c r="CM71" t="e">
        <f>AND(#REF!,"AAAAADrw7lo=")</f>
        <v>#REF!</v>
      </c>
      <c r="CN71" t="e">
        <f>AND(#REF!,"AAAAADrw7ls=")</f>
        <v>#REF!</v>
      </c>
      <c r="CO71" t="e">
        <f>AND(#REF!,"AAAAADrw7lw=")</f>
        <v>#REF!</v>
      </c>
      <c r="CP71" t="e">
        <f>AND(#REF!,"AAAAADrw7l0=")</f>
        <v>#REF!</v>
      </c>
      <c r="CQ71" t="e">
        <f>AND(#REF!,"AAAAADrw7l4=")</f>
        <v>#REF!</v>
      </c>
      <c r="CR71" t="e">
        <f>AND(#REF!,"AAAAADrw7l8=")</f>
        <v>#REF!</v>
      </c>
      <c r="CS71" t="e">
        <f>AND(#REF!,"AAAAADrw7mA=")</f>
        <v>#REF!</v>
      </c>
      <c r="CT71" t="e">
        <f>AND(#REF!,"AAAAADrw7mE=")</f>
        <v>#REF!</v>
      </c>
      <c r="CU71" t="e">
        <f>AND(#REF!,"AAAAADrw7mI=")</f>
        <v>#REF!</v>
      </c>
      <c r="CV71" t="e">
        <f>AND(#REF!,"AAAAADrw7mM=")</f>
        <v>#REF!</v>
      </c>
      <c r="CW71" t="e">
        <f>AND(#REF!,"AAAAADrw7mQ=")</f>
        <v>#REF!</v>
      </c>
      <c r="CX71" t="e">
        <f>AND(#REF!,"AAAAADrw7mU=")</f>
        <v>#REF!</v>
      </c>
      <c r="CY71" t="e">
        <f>AND(#REF!,"AAAAADrw7mY=")</f>
        <v>#REF!</v>
      </c>
      <c r="CZ71" t="e">
        <f>AND(#REF!,"AAAAADrw7mc=")</f>
        <v>#REF!</v>
      </c>
      <c r="DA71" t="e">
        <f>AND(#REF!,"AAAAADrw7mg=")</f>
        <v>#REF!</v>
      </c>
      <c r="DB71" t="e">
        <f>AND(#REF!,"AAAAADrw7mk=")</f>
        <v>#REF!</v>
      </c>
      <c r="DC71" t="e">
        <f>AND(#REF!,"AAAAADrw7mo=")</f>
        <v>#REF!</v>
      </c>
      <c r="DD71" t="e">
        <f>AND(#REF!,"AAAAADrw7ms=")</f>
        <v>#REF!</v>
      </c>
      <c r="DE71" t="e">
        <f>AND(#REF!,"AAAAADrw7mw=")</f>
        <v>#REF!</v>
      </c>
      <c r="DF71" t="e">
        <f>AND(#REF!,"AAAAADrw7m0=")</f>
        <v>#REF!</v>
      </c>
      <c r="DG71" t="e">
        <f>AND(#REF!,"AAAAADrw7m4=")</f>
        <v>#REF!</v>
      </c>
      <c r="DH71" t="e">
        <f>AND(#REF!,"AAAAADrw7m8=")</f>
        <v>#REF!</v>
      </c>
      <c r="DI71" t="e">
        <f>AND(#REF!,"AAAAADrw7nA=")</f>
        <v>#REF!</v>
      </c>
      <c r="DJ71" t="e">
        <f>AND(#REF!,"AAAAADrw7nE=")</f>
        <v>#REF!</v>
      </c>
      <c r="DK71" t="e">
        <f>AND(#REF!,"AAAAADrw7nI=")</f>
        <v>#REF!</v>
      </c>
      <c r="DL71" t="e">
        <f>AND(#REF!,"AAAAADrw7nM=")</f>
        <v>#REF!</v>
      </c>
      <c r="DM71" t="e">
        <f>AND(#REF!,"AAAAADrw7nQ=")</f>
        <v>#REF!</v>
      </c>
      <c r="DN71" t="e">
        <f>AND(#REF!,"AAAAADrw7nU=")</f>
        <v>#REF!</v>
      </c>
      <c r="DO71" t="e">
        <f>AND(#REF!,"AAAAADrw7nY=")</f>
        <v>#REF!</v>
      </c>
      <c r="DP71" t="e">
        <f>AND(#REF!,"AAAAADrw7nc=")</f>
        <v>#REF!</v>
      </c>
      <c r="DQ71" t="e">
        <f>AND(#REF!,"AAAAADrw7ng=")</f>
        <v>#REF!</v>
      </c>
      <c r="DR71" t="e">
        <f>AND(#REF!,"AAAAADrw7nk=")</f>
        <v>#REF!</v>
      </c>
      <c r="DS71" t="e">
        <f>AND(#REF!,"AAAAADrw7no=")</f>
        <v>#REF!</v>
      </c>
      <c r="DT71" t="e">
        <f>AND(#REF!,"AAAAADrw7ns=")</f>
        <v>#REF!</v>
      </c>
      <c r="DU71" t="e">
        <f>AND(#REF!,"AAAAADrw7nw=")</f>
        <v>#REF!</v>
      </c>
      <c r="DV71" t="e">
        <f>AND(#REF!,"AAAAADrw7n0=")</f>
        <v>#REF!</v>
      </c>
      <c r="DW71" t="e">
        <f>AND(#REF!,"AAAAADrw7n4=")</f>
        <v>#REF!</v>
      </c>
      <c r="DX71" t="e">
        <f>AND(#REF!,"AAAAADrw7n8=")</f>
        <v>#REF!</v>
      </c>
      <c r="DY71" t="e">
        <f>AND(#REF!,"AAAAADrw7oA=")</f>
        <v>#REF!</v>
      </c>
      <c r="DZ71" t="e">
        <f>AND(#REF!,"AAAAADrw7oE=")</f>
        <v>#REF!</v>
      </c>
      <c r="EA71" t="e">
        <f>AND(#REF!,"AAAAADrw7oI=")</f>
        <v>#REF!</v>
      </c>
      <c r="EB71" t="e">
        <f>AND(#REF!,"AAAAADrw7oM=")</f>
        <v>#REF!</v>
      </c>
      <c r="EC71" t="e">
        <f>AND(#REF!,"AAAAADrw7oQ=")</f>
        <v>#REF!</v>
      </c>
      <c r="ED71" t="e">
        <f>AND(#REF!,"AAAAADrw7oU=")</f>
        <v>#REF!</v>
      </c>
      <c r="EE71" t="e">
        <f>AND(#REF!,"AAAAADrw7oY=")</f>
        <v>#REF!</v>
      </c>
      <c r="EF71" t="e">
        <f>AND(#REF!,"AAAAADrw7oc=")</f>
        <v>#REF!</v>
      </c>
      <c r="EG71" t="e">
        <f>AND(#REF!,"AAAAADrw7og=")</f>
        <v>#REF!</v>
      </c>
      <c r="EH71" t="e">
        <f>AND(#REF!,"AAAAADrw7ok=")</f>
        <v>#REF!</v>
      </c>
      <c r="EI71" t="e">
        <f>AND(#REF!,"AAAAADrw7oo=")</f>
        <v>#REF!</v>
      </c>
      <c r="EJ71" t="e">
        <f>AND(#REF!,"AAAAADrw7os=")</f>
        <v>#REF!</v>
      </c>
      <c r="EK71" t="e">
        <f>AND(#REF!,"AAAAADrw7ow=")</f>
        <v>#REF!</v>
      </c>
      <c r="EL71" t="e">
        <f>AND(#REF!,"AAAAADrw7o0=")</f>
        <v>#REF!</v>
      </c>
      <c r="EM71" t="e">
        <f>AND(#REF!,"AAAAADrw7o4=")</f>
        <v>#REF!</v>
      </c>
      <c r="EN71" t="e">
        <f>AND(#REF!,"AAAAADrw7o8=")</f>
        <v>#REF!</v>
      </c>
      <c r="EO71" t="e">
        <f>AND(#REF!,"AAAAADrw7pA=")</f>
        <v>#REF!</v>
      </c>
      <c r="EP71" t="e">
        <f>AND(#REF!,"AAAAADrw7pE=")</f>
        <v>#REF!</v>
      </c>
      <c r="EQ71" t="e">
        <f>AND(#REF!,"AAAAADrw7pI=")</f>
        <v>#REF!</v>
      </c>
      <c r="ER71" t="e">
        <f>AND(#REF!,"AAAAADrw7pM=")</f>
        <v>#REF!</v>
      </c>
      <c r="ES71" t="e">
        <f>AND(#REF!,"AAAAADrw7pQ=")</f>
        <v>#REF!</v>
      </c>
      <c r="ET71" t="e">
        <f>AND(#REF!,"AAAAADrw7pU=")</f>
        <v>#REF!</v>
      </c>
      <c r="EU71" t="e">
        <f>AND(#REF!,"AAAAADrw7pY=")</f>
        <v>#REF!</v>
      </c>
      <c r="EV71" t="e">
        <f>AND(#REF!,"AAAAADrw7pc=")</f>
        <v>#REF!</v>
      </c>
      <c r="EW71" t="e">
        <f>AND(#REF!,"AAAAADrw7pg=")</f>
        <v>#REF!</v>
      </c>
      <c r="EX71" t="e">
        <f>AND(#REF!,"AAAAADrw7pk=")</f>
        <v>#REF!</v>
      </c>
      <c r="EY71" t="e">
        <f>AND(#REF!,"AAAAADrw7po=")</f>
        <v>#REF!</v>
      </c>
      <c r="EZ71" t="e">
        <f>IF(#REF!,"AAAAADrw7ps=",0)</f>
        <v>#REF!</v>
      </c>
      <c r="FA71" t="e">
        <f>AND(#REF!,"AAAAADrw7pw=")</f>
        <v>#REF!</v>
      </c>
      <c r="FB71" t="e">
        <f>AND(#REF!,"AAAAADrw7p0=")</f>
        <v>#REF!</v>
      </c>
      <c r="FC71" t="e">
        <f>AND(#REF!,"AAAAADrw7p4=")</f>
        <v>#REF!</v>
      </c>
      <c r="FD71" t="e">
        <f>AND(#REF!,"AAAAADrw7p8=")</f>
        <v>#REF!</v>
      </c>
      <c r="FE71" t="e">
        <f>AND(#REF!,"AAAAADrw7qA=")</f>
        <v>#REF!</v>
      </c>
      <c r="FF71" t="e">
        <f>AND(#REF!,"AAAAADrw7qE=")</f>
        <v>#REF!</v>
      </c>
      <c r="FG71" t="e">
        <f>AND(#REF!,"AAAAADrw7qI=")</f>
        <v>#REF!</v>
      </c>
      <c r="FH71" t="e">
        <f>AND(#REF!,"AAAAADrw7qM=")</f>
        <v>#REF!</v>
      </c>
      <c r="FI71" t="e">
        <f>AND(#REF!,"AAAAADrw7qQ=")</f>
        <v>#REF!</v>
      </c>
      <c r="FJ71" t="e">
        <f>AND(#REF!,"AAAAADrw7qU=")</f>
        <v>#REF!</v>
      </c>
      <c r="FK71" t="e">
        <f>AND(#REF!,"AAAAADrw7qY=")</f>
        <v>#REF!</v>
      </c>
      <c r="FL71" t="e">
        <f>AND(#REF!,"AAAAADrw7qc=")</f>
        <v>#REF!</v>
      </c>
      <c r="FM71" t="e">
        <f>AND(#REF!,"AAAAADrw7qg=")</f>
        <v>#REF!</v>
      </c>
      <c r="FN71" t="e">
        <f>AND(#REF!,"AAAAADrw7qk=")</f>
        <v>#REF!</v>
      </c>
      <c r="FO71" t="e">
        <f>AND(#REF!,"AAAAADrw7qo=")</f>
        <v>#REF!</v>
      </c>
      <c r="FP71" t="e">
        <f>AND(#REF!,"AAAAADrw7qs=")</f>
        <v>#REF!</v>
      </c>
      <c r="FQ71" t="e">
        <f>AND(#REF!,"AAAAADrw7qw=")</f>
        <v>#REF!</v>
      </c>
      <c r="FR71" t="e">
        <f>AND(#REF!,"AAAAADrw7q0=")</f>
        <v>#REF!</v>
      </c>
      <c r="FS71" t="e">
        <f>AND(#REF!,"AAAAADrw7q4=")</f>
        <v>#REF!</v>
      </c>
      <c r="FT71" t="e">
        <f>AND(#REF!,"AAAAADrw7q8=")</f>
        <v>#REF!</v>
      </c>
      <c r="FU71" t="e">
        <f>AND(#REF!,"AAAAADrw7rA=")</f>
        <v>#REF!</v>
      </c>
      <c r="FV71" t="e">
        <f>AND(#REF!,"AAAAADrw7rE=")</f>
        <v>#REF!</v>
      </c>
      <c r="FW71" t="e">
        <f>AND(#REF!,"AAAAADrw7rI=")</f>
        <v>#REF!</v>
      </c>
      <c r="FX71" t="e">
        <f>AND(#REF!,"AAAAADrw7rM=")</f>
        <v>#REF!</v>
      </c>
      <c r="FY71" t="e">
        <f>AND(#REF!,"AAAAADrw7rQ=")</f>
        <v>#REF!</v>
      </c>
      <c r="FZ71" t="e">
        <f>AND(#REF!,"AAAAADrw7rU=")</f>
        <v>#REF!</v>
      </c>
      <c r="GA71" t="e">
        <f>AND(#REF!,"AAAAADrw7rY=")</f>
        <v>#REF!</v>
      </c>
      <c r="GB71" t="e">
        <f>AND(#REF!,"AAAAADrw7rc=")</f>
        <v>#REF!</v>
      </c>
      <c r="GC71" t="e">
        <f>AND(#REF!,"AAAAADrw7rg=")</f>
        <v>#REF!</v>
      </c>
      <c r="GD71" t="e">
        <f>AND(#REF!,"AAAAADrw7rk=")</f>
        <v>#REF!</v>
      </c>
      <c r="GE71" t="e">
        <f>AND(#REF!,"AAAAADrw7ro=")</f>
        <v>#REF!</v>
      </c>
      <c r="GF71" t="e">
        <f>AND(#REF!,"AAAAADrw7rs=")</f>
        <v>#REF!</v>
      </c>
      <c r="GG71" t="e">
        <f>AND(#REF!,"AAAAADrw7rw=")</f>
        <v>#REF!</v>
      </c>
      <c r="GH71" t="e">
        <f>AND(#REF!,"AAAAADrw7r0=")</f>
        <v>#REF!</v>
      </c>
      <c r="GI71" t="e">
        <f>AND(#REF!,"AAAAADrw7r4=")</f>
        <v>#REF!</v>
      </c>
      <c r="GJ71" t="e">
        <f>AND(#REF!,"AAAAADrw7r8=")</f>
        <v>#REF!</v>
      </c>
      <c r="GK71" t="e">
        <f>AND(#REF!,"AAAAADrw7sA=")</f>
        <v>#REF!</v>
      </c>
      <c r="GL71" t="e">
        <f>AND(#REF!,"AAAAADrw7sE=")</f>
        <v>#REF!</v>
      </c>
      <c r="GM71" t="e">
        <f>AND(#REF!,"AAAAADrw7sI=")</f>
        <v>#REF!</v>
      </c>
      <c r="GN71" t="e">
        <f>AND(#REF!,"AAAAADrw7sM=")</f>
        <v>#REF!</v>
      </c>
      <c r="GO71" t="e">
        <f>AND(#REF!,"AAAAADrw7sQ=")</f>
        <v>#REF!</v>
      </c>
      <c r="GP71" t="e">
        <f>AND(#REF!,"AAAAADrw7sU=")</f>
        <v>#REF!</v>
      </c>
      <c r="GQ71" t="e">
        <f>AND(#REF!,"AAAAADrw7sY=")</f>
        <v>#REF!</v>
      </c>
      <c r="GR71" t="e">
        <f>AND(#REF!,"AAAAADrw7sc=")</f>
        <v>#REF!</v>
      </c>
      <c r="GS71" t="e">
        <f>AND(#REF!,"AAAAADrw7sg=")</f>
        <v>#REF!</v>
      </c>
      <c r="GT71" t="e">
        <f>AND(#REF!,"AAAAADrw7sk=")</f>
        <v>#REF!</v>
      </c>
      <c r="GU71" t="e">
        <f>AND(#REF!,"AAAAADrw7so=")</f>
        <v>#REF!</v>
      </c>
      <c r="GV71" t="e">
        <f>AND(#REF!,"AAAAADrw7ss=")</f>
        <v>#REF!</v>
      </c>
      <c r="GW71" t="e">
        <f>AND(#REF!,"AAAAADrw7sw=")</f>
        <v>#REF!</v>
      </c>
      <c r="GX71" t="e">
        <f>AND(#REF!,"AAAAADrw7s0=")</f>
        <v>#REF!</v>
      </c>
      <c r="GY71" t="e">
        <f>AND(#REF!,"AAAAADrw7s4=")</f>
        <v>#REF!</v>
      </c>
      <c r="GZ71" t="e">
        <f>AND(#REF!,"AAAAADrw7s8=")</f>
        <v>#REF!</v>
      </c>
      <c r="HA71" t="e">
        <f>AND(#REF!,"AAAAADrw7tA=")</f>
        <v>#REF!</v>
      </c>
      <c r="HB71" t="e">
        <f>AND(#REF!,"AAAAADrw7tE=")</f>
        <v>#REF!</v>
      </c>
      <c r="HC71" t="e">
        <f>AND(#REF!,"AAAAADrw7tI=")</f>
        <v>#REF!</v>
      </c>
      <c r="HD71" t="e">
        <f>AND(#REF!,"AAAAADrw7tM=")</f>
        <v>#REF!</v>
      </c>
      <c r="HE71" t="e">
        <f>AND(#REF!,"AAAAADrw7tQ=")</f>
        <v>#REF!</v>
      </c>
      <c r="HF71" t="e">
        <f>AND(#REF!,"AAAAADrw7tU=")</f>
        <v>#REF!</v>
      </c>
      <c r="HG71" t="e">
        <f>AND(#REF!,"AAAAADrw7tY=")</f>
        <v>#REF!</v>
      </c>
      <c r="HH71" t="e">
        <f>AND(#REF!,"AAAAADrw7tc=")</f>
        <v>#REF!</v>
      </c>
      <c r="HI71" t="e">
        <f>AND(#REF!,"AAAAADrw7tg=")</f>
        <v>#REF!</v>
      </c>
      <c r="HJ71" t="e">
        <f>AND(#REF!,"AAAAADrw7tk=")</f>
        <v>#REF!</v>
      </c>
      <c r="HK71" t="e">
        <f>AND(#REF!,"AAAAADrw7to=")</f>
        <v>#REF!</v>
      </c>
      <c r="HL71" t="e">
        <f>AND(#REF!,"AAAAADrw7ts=")</f>
        <v>#REF!</v>
      </c>
      <c r="HM71" t="e">
        <f>AND(#REF!,"AAAAADrw7tw=")</f>
        <v>#REF!</v>
      </c>
      <c r="HN71" t="e">
        <f>AND(#REF!,"AAAAADrw7t0=")</f>
        <v>#REF!</v>
      </c>
      <c r="HO71" t="e">
        <f>AND(#REF!,"AAAAADrw7t4=")</f>
        <v>#REF!</v>
      </c>
      <c r="HP71" t="e">
        <f>AND(#REF!,"AAAAADrw7t8=")</f>
        <v>#REF!</v>
      </c>
      <c r="HQ71" t="e">
        <f>AND(#REF!,"AAAAADrw7uA=")</f>
        <v>#REF!</v>
      </c>
      <c r="HR71" t="e">
        <f>AND(#REF!,"AAAAADrw7uE=")</f>
        <v>#REF!</v>
      </c>
      <c r="HS71" t="e">
        <f>AND(#REF!,"AAAAADrw7uI=")</f>
        <v>#REF!</v>
      </c>
      <c r="HT71" t="e">
        <f>AND(#REF!,"AAAAADrw7uM=")</f>
        <v>#REF!</v>
      </c>
      <c r="HU71" t="e">
        <f>AND(#REF!,"AAAAADrw7uQ=")</f>
        <v>#REF!</v>
      </c>
      <c r="HV71" t="e">
        <f>AND(#REF!,"AAAAADrw7uU=")</f>
        <v>#REF!</v>
      </c>
      <c r="HW71" t="e">
        <f>IF(#REF!,"AAAAADrw7uY=",0)</f>
        <v>#REF!</v>
      </c>
      <c r="HX71" t="e">
        <f>AND(#REF!,"AAAAADrw7uc=")</f>
        <v>#REF!</v>
      </c>
      <c r="HY71" t="e">
        <f>AND(#REF!,"AAAAADrw7ug=")</f>
        <v>#REF!</v>
      </c>
      <c r="HZ71" t="e">
        <f>AND(#REF!,"AAAAADrw7uk=")</f>
        <v>#REF!</v>
      </c>
      <c r="IA71" t="e">
        <f>AND(#REF!,"AAAAADrw7uo=")</f>
        <v>#REF!</v>
      </c>
      <c r="IB71" t="e">
        <f>AND(#REF!,"AAAAADrw7us=")</f>
        <v>#REF!</v>
      </c>
      <c r="IC71" t="e">
        <f>AND(#REF!,"AAAAADrw7uw=")</f>
        <v>#REF!</v>
      </c>
      <c r="ID71" t="e">
        <f>AND(#REF!,"AAAAADrw7u0=")</f>
        <v>#REF!</v>
      </c>
      <c r="IE71" t="e">
        <f>AND(#REF!,"AAAAADrw7u4=")</f>
        <v>#REF!</v>
      </c>
      <c r="IF71" t="e">
        <f>AND(#REF!,"AAAAADrw7u8=")</f>
        <v>#REF!</v>
      </c>
      <c r="IG71" t="e">
        <f>AND(#REF!,"AAAAADrw7vA=")</f>
        <v>#REF!</v>
      </c>
      <c r="IH71" t="e">
        <f>AND(#REF!,"AAAAADrw7vE=")</f>
        <v>#REF!</v>
      </c>
      <c r="II71" t="e">
        <f>AND(#REF!,"AAAAADrw7vI=")</f>
        <v>#REF!</v>
      </c>
      <c r="IJ71" t="e">
        <f>AND(#REF!,"AAAAADrw7vM=")</f>
        <v>#REF!</v>
      </c>
      <c r="IK71" t="e">
        <f>AND(#REF!,"AAAAADrw7vQ=")</f>
        <v>#REF!</v>
      </c>
      <c r="IL71" t="e">
        <f>AND(#REF!,"AAAAADrw7vU=")</f>
        <v>#REF!</v>
      </c>
      <c r="IM71" t="e">
        <f>AND(#REF!,"AAAAADrw7vY=")</f>
        <v>#REF!</v>
      </c>
      <c r="IN71" t="e">
        <f>AND(#REF!,"AAAAADrw7vc=")</f>
        <v>#REF!</v>
      </c>
      <c r="IO71" t="e">
        <f>AND(#REF!,"AAAAADrw7vg=")</f>
        <v>#REF!</v>
      </c>
      <c r="IP71" t="e">
        <f>AND(#REF!,"AAAAADrw7vk=")</f>
        <v>#REF!</v>
      </c>
      <c r="IQ71" t="e">
        <f>AND(#REF!,"AAAAADrw7vo=")</f>
        <v>#REF!</v>
      </c>
      <c r="IR71" t="e">
        <f>AND(#REF!,"AAAAADrw7vs=")</f>
        <v>#REF!</v>
      </c>
      <c r="IS71" t="e">
        <f>AND(#REF!,"AAAAADrw7vw=")</f>
        <v>#REF!</v>
      </c>
      <c r="IT71" t="e">
        <f>AND(#REF!,"AAAAADrw7v0=")</f>
        <v>#REF!</v>
      </c>
      <c r="IU71" t="e">
        <f>AND(#REF!,"AAAAADrw7v4=")</f>
        <v>#REF!</v>
      </c>
      <c r="IV71" t="e">
        <f>AND(#REF!,"AAAAADrw7v8=")</f>
        <v>#REF!</v>
      </c>
    </row>
    <row r="72" spans="1:256" x14ac:dyDescent="0.2">
      <c r="A72" t="e">
        <f>AND(#REF!,"AAAAAGdf+wA=")</f>
        <v>#REF!</v>
      </c>
      <c r="B72" t="e">
        <f>AND(#REF!,"AAAAAGdf+wE=")</f>
        <v>#REF!</v>
      </c>
      <c r="C72" t="e">
        <f>AND(#REF!,"AAAAAGdf+wI=")</f>
        <v>#REF!</v>
      </c>
      <c r="D72" t="e">
        <f>AND(#REF!,"AAAAAGdf+wM=")</f>
        <v>#REF!</v>
      </c>
      <c r="E72" t="e">
        <f>AND(#REF!,"AAAAAGdf+wQ=")</f>
        <v>#REF!</v>
      </c>
      <c r="F72" t="e">
        <f>AND(#REF!,"AAAAAGdf+wU=")</f>
        <v>#REF!</v>
      </c>
      <c r="G72" t="e">
        <f>AND(#REF!,"AAAAAGdf+wY=")</f>
        <v>#REF!</v>
      </c>
      <c r="H72" t="e">
        <f>AND(#REF!,"AAAAAGdf+wc=")</f>
        <v>#REF!</v>
      </c>
      <c r="I72" t="e">
        <f>AND(#REF!,"AAAAAGdf+wg=")</f>
        <v>#REF!</v>
      </c>
      <c r="J72" t="e">
        <f>AND(#REF!,"AAAAAGdf+wk=")</f>
        <v>#REF!</v>
      </c>
      <c r="K72" t="e">
        <f>AND(#REF!,"AAAAAGdf+wo=")</f>
        <v>#REF!</v>
      </c>
      <c r="L72" t="e">
        <f>AND(#REF!,"AAAAAGdf+ws=")</f>
        <v>#REF!</v>
      </c>
      <c r="M72" t="e">
        <f>AND(#REF!,"AAAAAGdf+ww=")</f>
        <v>#REF!</v>
      </c>
      <c r="N72" t="e">
        <f>AND(#REF!,"AAAAAGdf+w0=")</f>
        <v>#REF!</v>
      </c>
      <c r="O72" t="e">
        <f>AND(#REF!,"AAAAAGdf+w4=")</f>
        <v>#REF!</v>
      </c>
      <c r="P72" t="e">
        <f>AND(#REF!,"AAAAAGdf+w8=")</f>
        <v>#REF!</v>
      </c>
      <c r="Q72" t="e">
        <f>AND(#REF!,"AAAAAGdf+xA=")</f>
        <v>#REF!</v>
      </c>
      <c r="R72" t="e">
        <f>AND(#REF!,"AAAAAGdf+xE=")</f>
        <v>#REF!</v>
      </c>
      <c r="S72" t="e">
        <f>AND(#REF!,"AAAAAGdf+xI=")</f>
        <v>#REF!</v>
      </c>
      <c r="T72" t="e">
        <f>AND(#REF!,"AAAAAGdf+xM=")</f>
        <v>#REF!</v>
      </c>
      <c r="U72" t="e">
        <f>AND(#REF!,"AAAAAGdf+xQ=")</f>
        <v>#REF!</v>
      </c>
      <c r="V72" t="e">
        <f>AND(#REF!,"AAAAAGdf+xU=")</f>
        <v>#REF!</v>
      </c>
      <c r="W72" t="e">
        <f>AND(#REF!,"AAAAAGdf+xY=")</f>
        <v>#REF!</v>
      </c>
      <c r="X72" t="e">
        <f>AND(#REF!,"AAAAAGdf+xc=")</f>
        <v>#REF!</v>
      </c>
      <c r="Y72" t="e">
        <f>AND(#REF!,"AAAAAGdf+xg=")</f>
        <v>#REF!</v>
      </c>
      <c r="Z72" t="e">
        <f>AND(#REF!,"AAAAAGdf+xk=")</f>
        <v>#REF!</v>
      </c>
      <c r="AA72" t="e">
        <f>AND(#REF!,"AAAAAGdf+xo=")</f>
        <v>#REF!</v>
      </c>
      <c r="AB72" t="e">
        <f>AND(#REF!,"AAAAAGdf+xs=")</f>
        <v>#REF!</v>
      </c>
      <c r="AC72" t="e">
        <f>AND(#REF!,"AAAAAGdf+xw=")</f>
        <v>#REF!</v>
      </c>
      <c r="AD72" t="e">
        <f>AND(#REF!,"AAAAAGdf+x0=")</f>
        <v>#REF!</v>
      </c>
      <c r="AE72" t="e">
        <f>AND(#REF!,"AAAAAGdf+x4=")</f>
        <v>#REF!</v>
      </c>
      <c r="AF72" t="e">
        <f>AND(#REF!,"AAAAAGdf+x8=")</f>
        <v>#REF!</v>
      </c>
      <c r="AG72" t="e">
        <f>AND(#REF!,"AAAAAGdf+yA=")</f>
        <v>#REF!</v>
      </c>
      <c r="AH72" t="e">
        <f>AND(#REF!,"AAAAAGdf+yE=")</f>
        <v>#REF!</v>
      </c>
      <c r="AI72" t="e">
        <f>AND(#REF!,"AAAAAGdf+yI=")</f>
        <v>#REF!</v>
      </c>
      <c r="AJ72" t="e">
        <f>AND(#REF!,"AAAAAGdf+yM=")</f>
        <v>#REF!</v>
      </c>
      <c r="AK72" t="e">
        <f>AND(#REF!,"AAAAAGdf+yQ=")</f>
        <v>#REF!</v>
      </c>
      <c r="AL72" t="e">
        <f>AND(#REF!,"AAAAAGdf+yU=")</f>
        <v>#REF!</v>
      </c>
      <c r="AM72" t="e">
        <f>AND(#REF!,"AAAAAGdf+yY=")</f>
        <v>#REF!</v>
      </c>
      <c r="AN72" t="e">
        <f>AND(#REF!,"AAAAAGdf+yc=")</f>
        <v>#REF!</v>
      </c>
      <c r="AO72" t="e">
        <f>AND(#REF!,"AAAAAGdf+yg=")</f>
        <v>#REF!</v>
      </c>
      <c r="AP72" t="e">
        <f>AND(#REF!,"AAAAAGdf+yk=")</f>
        <v>#REF!</v>
      </c>
      <c r="AQ72" t="e">
        <f>AND(#REF!,"AAAAAGdf+yo=")</f>
        <v>#REF!</v>
      </c>
      <c r="AR72" t="e">
        <f>AND(#REF!,"AAAAAGdf+ys=")</f>
        <v>#REF!</v>
      </c>
      <c r="AS72" t="e">
        <f>AND(#REF!,"AAAAAGdf+yw=")</f>
        <v>#REF!</v>
      </c>
      <c r="AT72" t="e">
        <f>AND(#REF!,"AAAAAGdf+y0=")</f>
        <v>#REF!</v>
      </c>
      <c r="AU72" t="e">
        <f>AND(#REF!,"AAAAAGdf+y4=")</f>
        <v>#REF!</v>
      </c>
      <c r="AV72" t="e">
        <f>AND(#REF!,"AAAAAGdf+y8=")</f>
        <v>#REF!</v>
      </c>
      <c r="AW72" t="e">
        <f>AND(#REF!,"AAAAAGdf+zA=")</f>
        <v>#REF!</v>
      </c>
      <c r="AX72" t="e">
        <f>IF(#REF!,"AAAAAGdf+zE=",0)</f>
        <v>#REF!</v>
      </c>
      <c r="AY72" t="e">
        <f>AND(#REF!,"AAAAAGdf+zI=")</f>
        <v>#REF!</v>
      </c>
      <c r="AZ72" t="e">
        <f>AND(#REF!,"AAAAAGdf+zM=")</f>
        <v>#REF!</v>
      </c>
      <c r="BA72" t="e">
        <f>AND(#REF!,"AAAAAGdf+zQ=")</f>
        <v>#REF!</v>
      </c>
      <c r="BB72" t="e">
        <f>AND(#REF!,"AAAAAGdf+zU=")</f>
        <v>#REF!</v>
      </c>
      <c r="BC72" t="e">
        <f>AND(#REF!,"AAAAAGdf+zY=")</f>
        <v>#REF!</v>
      </c>
      <c r="BD72" t="e">
        <f>AND(#REF!,"AAAAAGdf+zc=")</f>
        <v>#REF!</v>
      </c>
      <c r="BE72" t="e">
        <f>AND(#REF!,"AAAAAGdf+zg=")</f>
        <v>#REF!</v>
      </c>
      <c r="BF72" t="e">
        <f>AND(#REF!,"AAAAAGdf+zk=")</f>
        <v>#REF!</v>
      </c>
      <c r="BG72" t="e">
        <f>AND(#REF!,"AAAAAGdf+zo=")</f>
        <v>#REF!</v>
      </c>
      <c r="BH72" t="e">
        <f>AND(#REF!,"AAAAAGdf+zs=")</f>
        <v>#REF!</v>
      </c>
      <c r="BI72" t="e">
        <f>AND(#REF!,"AAAAAGdf+zw=")</f>
        <v>#REF!</v>
      </c>
      <c r="BJ72" t="e">
        <f>AND(#REF!,"AAAAAGdf+z0=")</f>
        <v>#REF!</v>
      </c>
      <c r="BK72" t="e">
        <f>AND(#REF!,"AAAAAGdf+z4=")</f>
        <v>#REF!</v>
      </c>
      <c r="BL72" t="e">
        <f>AND(#REF!,"AAAAAGdf+z8=")</f>
        <v>#REF!</v>
      </c>
      <c r="BM72" t="e">
        <f>AND(#REF!,"AAAAAGdf+0A=")</f>
        <v>#REF!</v>
      </c>
      <c r="BN72" t="e">
        <f>AND(#REF!,"AAAAAGdf+0E=")</f>
        <v>#REF!</v>
      </c>
      <c r="BO72" t="e">
        <f>AND(#REF!,"AAAAAGdf+0I=")</f>
        <v>#REF!</v>
      </c>
      <c r="BP72" t="e">
        <f>AND(#REF!,"AAAAAGdf+0M=")</f>
        <v>#REF!</v>
      </c>
      <c r="BQ72" t="e">
        <f>AND(#REF!,"AAAAAGdf+0Q=")</f>
        <v>#REF!</v>
      </c>
      <c r="BR72" t="e">
        <f>AND(#REF!,"AAAAAGdf+0U=")</f>
        <v>#REF!</v>
      </c>
      <c r="BS72" t="e">
        <f>AND(#REF!,"AAAAAGdf+0Y=")</f>
        <v>#REF!</v>
      </c>
      <c r="BT72" t="e">
        <f>AND(#REF!,"AAAAAGdf+0c=")</f>
        <v>#REF!</v>
      </c>
      <c r="BU72" t="e">
        <f>AND(#REF!,"AAAAAGdf+0g=")</f>
        <v>#REF!</v>
      </c>
      <c r="BV72" t="e">
        <f>AND(#REF!,"AAAAAGdf+0k=")</f>
        <v>#REF!</v>
      </c>
      <c r="BW72" t="e">
        <f>AND(#REF!,"AAAAAGdf+0o=")</f>
        <v>#REF!</v>
      </c>
      <c r="BX72" t="e">
        <f>AND(#REF!,"AAAAAGdf+0s=")</f>
        <v>#REF!</v>
      </c>
      <c r="BY72" t="e">
        <f>AND(#REF!,"AAAAAGdf+0w=")</f>
        <v>#REF!</v>
      </c>
      <c r="BZ72" t="e">
        <f>AND(#REF!,"AAAAAGdf+00=")</f>
        <v>#REF!</v>
      </c>
      <c r="CA72" t="e">
        <f>AND(#REF!,"AAAAAGdf+04=")</f>
        <v>#REF!</v>
      </c>
      <c r="CB72" t="e">
        <f>AND(#REF!,"AAAAAGdf+08=")</f>
        <v>#REF!</v>
      </c>
      <c r="CC72" t="e">
        <f>AND(#REF!,"AAAAAGdf+1A=")</f>
        <v>#REF!</v>
      </c>
      <c r="CD72" t="e">
        <f>AND(#REF!,"AAAAAGdf+1E=")</f>
        <v>#REF!</v>
      </c>
      <c r="CE72" t="e">
        <f>AND(#REF!,"AAAAAGdf+1I=")</f>
        <v>#REF!</v>
      </c>
      <c r="CF72" t="e">
        <f>AND(#REF!,"AAAAAGdf+1M=")</f>
        <v>#REF!</v>
      </c>
      <c r="CG72" t="e">
        <f>AND(#REF!,"AAAAAGdf+1Q=")</f>
        <v>#REF!</v>
      </c>
      <c r="CH72" t="e">
        <f>AND(#REF!,"AAAAAGdf+1U=")</f>
        <v>#REF!</v>
      </c>
      <c r="CI72" t="e">
        <f>AND(#REF!,"AAAAAGdf+1Y=")</f>
        <v>#REF!</v>
      </c>
      <c r="CJ72" t="e">
        <f>AND(#REF!,"AAAAAGdf+1c=")</f>
        <v>#REF!</v>
      </c>
      <c r="CK72" t="e">
        <f>AND(#REF!,"AAAAAGdf+1g=")</f>
        <v>#REF!</v>
      </c>
      <c r="CL72" t="e">
        <f>AND(#REF!,"AAAAAGdf+1k=")</f>
        <v>#REF!</v>
      </c>
      <c r="CM72" t="e">
        <f>AND(#REF!,"AAAAAGdf+1o=")</f>
        <v>#REF!</v>
      </c>
      <c r="CN72" t="e">
        <f>AND(#REF!,"AAAAAGdf+1s=")</f>
        <v>#REF!</v>
      </c>
      <c r="CO72" t="e">
        <f>AND(#REF!,"AAAAAGdf+1w=")</f>
        <v>#REF!</v>
      </c>
      <c r="CP72" t="e">
        <f>AND(#REF!,"AAAAAGdf+10=")</f>
        <v>#REF!</v>
      </c>
      <c r="CQ72" t="e">
        <f>AND(#REF!,"AAAAAGdf+14=")</f>
        <v>#REF!</v>
      </c>
      <c r="CR72" t="e">
        <f>AND(#REF!,"AAAAAGdf+18=")</f>
        <v>#REF!</v>
      </c>
      <c r="CS72" t="e">
        <f>AND(#REF!,"AAAAAGdf+2A=")</f>
        <v>#REF!</v>
      </c>
      <c r="CT72" t="e">
        <f>AND(#REF!,"AAAAAGdf+2E=")</f>
        <v>#REF!</v>
      </c>
      <c r="CU72" t="e">
        <f>AND(#REF!,"AAAAAGdf+2I=")</f>
        <v>#REF!</v>
      </c>
      <c r="CV72" t="e">
        <f>AND(#REF!,"AAAAAGdf+2M=")</f>
        <v>#REF!</v>
      </c>
      <c r="CW72" t="e">
        <f>AND(#REF!,"AAAAAGdf+2Q=")</f>
        <v>#REF!</v>
      </c>
      <c r="CX72" t="e">
        <f>AND(#REF!,"AAAAAGdf+2U=")</f>
        <v>#REF!</v>
      </c>
      <c r="CY72" t="e">
        <f>AND(#REF!,"AAAAAGdf+2Y=")</f>
        <v>#REF!</v>
      </c>
      <c r="CZ72" t="e">
        <f>AND(#REF!,"AAAAAGdf+2c=")</f>
        <v>#REF!</v>
      </c>
      <c r="DA72" t="e">
        <f>AND(#REF!,"AAAAAGdf+2g=")</f>
        <v>#REF!</v>
      </c>
      <c r="DB72" t="e">
        <f>AND(#REF!,"AAAAAGdf+2k=")</f>
        <v>#REF!</v>
      </c>
      <c r="DC72" t="e">
        <f>AND(#REF!,"AAAAAGdf+2o=")</f>
        <v>#REF!</v>
      </c>
      <c r="DD72" t="e">
        <f>AND(#REF!,"AAAAAGdf+2s=")</f>
        <v>#REF!</v>
      </c>
      <c r="DE72" t="e">
        <f>AND(#REF!,"AAAAAGdf+2w=")</f>
        <v>#REF!</v>
      </c>
      <c r="DF72" t="e">
        <f>AND(#REF!,"AAAAAGdf+20=")</f>
        <v>#REF!</v>
      </c>
      <c r="DG72" t="e">
        <f>AND(#REF!,"AAAAAGdf+24=")</f>
        <v>#REF!</v>
      </c>
      <c r="DH72" t="e">
        <f>AND(#REF!,"AAAAAGdf+28=")</f>
        <v>#REF!</v>
      </c>
      <c r="DI72" t="e">
        <f>AND(#REF!,"AAAAAGdf+3A=")</f>
        <v>#REF!</v>
      </c>
      <c r="DJ72" t="e">
        <f>AND(#REF!,"AAAAAGdf+3E=")</f>
        <v>#REF!</v>
      </c>
      <c r="DK72" t="e">
        <f>AND(#REF!,"AAAAAGdf+3I=")</f>
        <v>#REF!</v>
      </c>
      <c r="DL72" t="e">
        <f>AND(#REF!,"AAAAAGdf+3M=")</f>
        <v>#REF!</v>
      </c>
      <c r="DM72" t="e">
        <f>AND(#REF!,"AAAAAGdf+3Q=")</f>
        <v>#REF!</v>
      </c>
      <c r="DN72" t="e">
        <f>AND(#REF!,"AAAAAGdf+3U=")</f>
        <v>#REF!</v>
      </c>
      <c r="DO72" t="e">
        <f>AND(#REF!,"AAAAAGdf+3Y=")</f>
        <v>#REF!</v>
      </c>
      <c r="DP72" t="e">
        <f>AND(#REF!,"AAAAAGdf+3c=")</f>
        <v>#REF!</v>
      </c>
      <c r="DQ72" t="e">
        <f>AND(#REF!,"AAAAAGdf+3g=")</f>
        <v>#REF!</v>
      </c>
      <c r="DR72" t="e">
        <f>AND(#REF!,"AAAAAGdf+3k=")</f>
        <v>#REF!</v>
      </c>
      <c r="DS72" t="e">
        <f>AND(#REF!,"AAAAAGdf+3o=")</f>
        <v>#REF!</v>
      </c>
      <c r="DT72" t="e">
        <f>AND(#REF!,"AAAAAGdf+3s=")</f>
        <v>#REF!</v>
      </c>
      <c r="DU72" t="e">
        <f>IF(#REF!,"AAAAAGdf+3w=",0)</f>
        <v>#REF!</v>
      </c>
      <c r="DV72" t="e">
        <f>AND(#REF!,"AAAAAGdf+30=")</f>
        <v>#REF!</v>
      </c>
      <c r="DW72" t="e">
        <f>AND(#REF!,"AAAAAGdf+34=")</f>
        <v>#REF!</v>
      </c>
      <c r="DX72" t="e">
        <f>AND(#REF!,"AAAAAGdf+38=")</f>
        <v>#REF!</v>
      </c>
      <c r="DY72" t="e">
        <f>AND(#REF!,"AAAAAGdf+4A=")</f>
        <v>#REF!</v>
      </c>
      <c r="DZ72" t="e">
        <f>AND(#REF!,"AAAAAGdf+4E=")</f>
        <v>#REF!</v>
      </c>
      <c r="EA72" t="e">
        <f>AND(#REF!,"AAAAAGdf+4I=")</f>
        <v>#REF!</v>
      </c>
      <c r="EB72" t="e">
        <f>AND(#REF!,"AAAAAGdf+4M=")</f>
        <v>#REF!</v>
      </c>
      <c r="EC72" t="e">
        <f>AND(#REF!,"AAAAAGdf+4Q=")</f>
        <v>#REF!</v>
      </c>
      <c r="ED72" t="e">
        <f>AND(#REF!,"AAAAAGdf+4U=")</f>
        <v>#REF!</v>
      </c>
      <c r="EE72" t="e">
        <f>AND(#REF!,"AAAAAGdf+4Y=")</f>
        <v>#REF!</v>
      </c>
      <c r="EF72" t="e">
        <f>AND(#REF!,"AAAAAGdf+4c=")</f>
        <v>#REF!</v>
      </c>
      <c r="EG72" t="e">
        <f>AND(#REF!,"AAAAAGdf+4g=")</f>
        <v>#REF!</v>
      </c>
      <c r="EH72" t="e">
        <f>AND(#REF!,"AAAAAGdf+4k=")</f>
        <v>#REF!</v>
      </c>
      <c r="EI72" t="e">
        <f>AND(#REF!,"AAAAAGdf+4o=")</f>
        <v>#REF!</v>
      </c>
      <c r="EJ72" t="e">
        <f>AND(#REF!,"AAAAAGdf+4s=")</f>
        <v>#REF!</v>
      </c>
      <c r="EK72" t="e">
        <f>AND(#REF!,"AAAAAGdf+4w=")</f>
        <v>#REF!</v>
      </c>
      <c r="EL72" t="e">
        <f>AND(#REF!,"AAAAAGdf+40=")</f>
        <v>#REF!</v>
      </c>
      <c r="EM72" t="e">
        <f>AND(#REF!,"AAAAAGdf+44=")</f>
        <v>#REF!</v>
      </c>
      <c r="EN72" t="e">
        <f>AND(#REF!,"AAAAAGdf+48=")</f>
        <v>#REF!</v>
      </c>
      <c r="EO72" t="e">
        <f>AND(#REF!,"AAAAAGdf+5A=")</f>
        <v>#REF!</v>
      </c>
      <c r="EP72" t="e">
        <f>AND(#REF!,"AAAAAGdf+5E=")</f>
        <v>#REF!</v>
      </c>
      <c r="EQ72" t="e">
        <f>AND(#REF!,"AAAAAGdf+5I=")</f>
        <v>#REF!</v>
      </c>
      <c r="ER72" t="e">
        <f>AND(#REF!,"AAAAAGdf+5M=")</f>
        <v>#REF!</v>
      </c>
      <c r="ES72" t="e">
        <f>AND(#REF!,"AAAAAGdf+5Q=")</f>
        <v>#REF!</v>
      </c>
      <c r="ET72" t="e">
        <f>AND(#REF!,"AAAAAGdf+5U=")</f>
        <v>#REF!</v>
      </c>
      <c r="EU72" t="e">
        <f>AND(#REF!,"AAAAAGdf+5Y=")</f>
        <v>#REF!</v>
      </c>
      <c r="EV72" t="e">
        <f>AND(#REF!,"AAAAAGdf+5c=")</f>
        <v>#REF!</v>
      </c>
      <c r="EW72" t="e">
        <f>AND(#REF!,"AAAAAGdf+5g=")</f>
        <v>#REF!</v>
      </c>
      <c r="EX72" t="e">
        <f>AND(#REF!,"AAAAAGdf+5k=")</f>
        <v>#REF!</v>
      </c>
      <c r="EY72" t="e">
        <f>AND(#REF!,"AAAAAGdf+5o=")</f>
        <v>#REF!</v>
      </c>
      <c r="EZ72" t="e">
        <f>AND(#REF!,"AAAAAGdf+5s=")</f>
        <v>#REF!</v>
      </c>
      <c r="FA72" t="e">
        <f>AND(#REF!,"AAAAAGdf+5w=")</f>
        <v>#REF!</v>
      </c>
      <c r="FB72" t="e">
        <f>AND(#REF!,"AAAAAGdf+50=")</f>
        <v>#REF!</v>
      </c>
      <c r="FC72" t="e">
        <f>AND(#REF!,"AAAAAGdf+54=")</f>
        <v>#REF!</v>
      </c>
      <c r="FD72" t="e">
        <f>AND(#REF!,"AAAAAGdf+58=")</f>
        <v>#REF!</v>
      </c>
      <c r="FE72" t="e">
        <f>AND(#REF!,"AAAAAGdf+6A=")</f>
        <v>#REF!</v>
      </c>
      <c r="FF72" t="e">
        <f>AND(#REF!,"AAAAAGdf+6E=")</f>
        <v>#REF!</v>
      </c>
      <c r="FG72" t="e">
        <f>AND(#REF!,"AAAAAGdf+6I=")</f>
        <v>#REF!</v>
      </c>
      <c r="FH72" t="e">
        <f>AND(#REF!,"AAAAAGdf+6M=")</f>
        <v>#REF!</v>
      </c>
      <c r="FI72" t="e">
        <f>AND(#REF!,"AAAAAGdf+6Q=")</f>
        <v>#REF!</v>
      </c>
      <c r="FJ72" t="e">
        <f>AND(#REF!,"AAAAAGdf+6U=")</f>
        <v>#REF!</v>
      </c>
      <c r="FK72" t="e">
        <f>AND(#REF!,"AAAAAGdf+6Y=")</f>
        <v>#REF!</v>
      </c>
      <c r="FL72" t="e">
        <f>AND(#REF!,"AAAAAGdf+6c=")</f>
        <v>#REF!</v>
      </c>
      <c r="FM72" t="e">
        <f>AND(#REF!,"AAAAAGdf+6g=")</f>
        <v>#REF!</v>
      </c>
      <c r="FN72" t="e">
        <f>AND(#REF!,"AAAAAGdf+6k=")</f>
        <v>#REF!</v>
      </c>
      <c r="FO72" t="e">
        <f>AND(#REF!,"AAAAAGdf+6o=")</f>
        <v>#REF!</v>
      </c>
      <c r="FP72" t="e">
        <f>AND(#REF!,"AAAAAGdf+6s=")</f>
        <v>#REF!</v>
      </c>
      <c r="FQ72" t="e">
        <f>AND(#REF!,"AAAAAGdf+6w=")</f>
        <v>#REF!</v>
      </c>
      <c r="FR72" t="e">
        <f>AND(#REF!,"AAAAAGdf+60=")</f>
        <v>#REF!</v>
      </c>
      <c r="FS72" t="e">
        <f>AND(#REF!,"AAAAAGdf+64=")</f>
        <v>#REF!</v>
      </c>
      <c r="FT72" t="e">
        <f>AND(#REF!,"AAAAAGdf+68=")</f>
        <v>#REF!</v>
      </c>
      <c r="FU72" t="e">
        <f>AND(#REF!,"AAAAAGdf+7A=")</f>
        <v>#REF!</v>
      </c>
      <c r="FV72" t="e">
        <f>AND(#REF!,"AAAAAGdf+7E=")</f>
        <v>#REF!</v>
      </c>
      <c r="FW72" t="e">
        <f>AND(#REF!,"AAAAAGdf+7I=")</f>
        <v>#REF!</v>
      </c>
      <c r="FX72" t="e">
        <f>AND(#REF!,"AAAAAGdf+7M=")</f>
        <v>#REF!</v>
      </c>
      <c r="FY72" t="e">
        <f>AND(#REF!,"AAAAAGdf+7Q=")</f>
        <v>#REF!</v>
      </c>
      <c r="FZ72" t="e">
        <f>AND(#REF!,"AAAAAGdf+7U=")</f>
        <v>#REF!</v>
      </c>
      <c r="GA72" t="e">
        <f>AND(#REF!,"AAAAAGdf+7Y=")</f>
        <v>#REF!</v>
      </c>
      <c r="GB72" t="e">
        <f>AND(#REF!,"AAAAAGdf+7c=")</f>
        <v>#REF!</v>
      </c>
      <c r="GC72" t="e">
        <f>AND(#REF!,"AAAAAGdf+7g=")</f>
        <v>#REF!</v>
      </c>
      <c r="GD72" t="e">
        <f>AND(#REF!,"AAAAAGdf+7k=")</f>
        <v>#REF!</v>
      </c>
      <c r="GE72" t="e">
        <f>AND(#REF!,"AAAAAGdf+7o=")</f>
        <v>#REF!</v>
      </c>
      <c r="GF72" t="e">
        <f>AND(#REF!,"AAAAAGdf+7s=")</f>
        <v>#REF!</v>
      </c>
      <c r="GG72" t="e">
        <f>AND(#REF!,"AAAAAGdf+7w=")</f>
        <v>#REF!</v>
      </c>
      <c r="GH72" t="e">
        <f>AND(#REF!,"AAAAAGdf+70=")</f>
        <v>#REF!</v>
      </c>
      <c r="GI72" t="e">
        <f>AND(#REF!,"AAAAAGdf+74=")</f>
        <v>#REF!</v>
      </c>
      <c r="GJ72" t="e">
        <f>AND(#REF!,"AAAAAGdf+78=")</f>
        <v>#REF!</v>
      </c>
      <c r="GK72" t="e">
        <f>AND(#REF!,"AAAAAGdf+8A=")</f>
        <v>#REF!</v>
      </c>
      <c r="GL72" t="e">
        <f>AND(#REF!,"AAAAAGdf+8E=")</f>
        <v>#REF!</v>
      </c>
      <c r="GM72" t="e">
        <f>AND(#REF!,"AAAAAGdf+8I=")</f>
        <v>#REF!</v>
      </c>
      <c r="GN72" t="e">
        <f>AND(#REF!,"AAAAAGdf+8M=")</f>
        <v>#REF!</v>
      </c>
      <c r="GO72" t="e">
        <f>AND(#REF!,"AAAAAGdf+8Q=")</f>
        <v>#REF!</v>
      </c>
      <c r="GP72" t="e">
        <f>AND(#REF!,"AAAAAGdf+8U=")</f>
        <v>#REF!</v>
      </c>
      <c r="GQ72" t="e">
        <f>AND(#REF!,"AAAAAGdf+8Y=")</f>
        <v>#REF!</v>
      </c>
      <c r="GR72" t="e">
        <f>IF(#REF!,"AAAAAGdf+8c=",0)</f>
        <v>#REF!</v>
      </c>
      <c r="GS72" t="e">
        <f>AND(#REF!,"AAAAAGdf+8g=")</f>
        <v>#REF!</v>
      </c>
      <c r="GT72" t="e">
        <f>AND(#REF!,"AAAAAGdf+8k=")</f>
        <v>#REF!</v>
      </c>
      <c r="GU72" t="e">
        <f>AND(#REF!,"AAAAAGdf+8o=")</f>
        <v>#REF!</v>
      </c>
      <c r="GV72" t="e">
        <f>AND(#REF!,"AAAAAGdf+8s=")</f>
        <v>#REF!</v>
      </c>
      <c r="GW72" t="e">
        <f>AND(#REF!,"AAAAAGdf+8w=")</f>
        <v>#REF!</v>
      </c>
      <c r="GX72" t="e">
        <f>AND(#REF!,"AAAAAGdf+80=")</f>
        <v>#REF!</v>
      </c>
      <c r="GY72" t="e">
        <f>AND(#REF!,"AAAAAGdf+84=")</f>
        <v>#REF!</v>
      </c>
      <c r="GZ72" t="e">
        <f>AND(#REF!,"AAAAAGdf+88=")</f>
        <v>#REF!</v>
      </c>
      <c r="HA72" t="e">
        <f>AND(#REF!,"AAAAAGdf+9A=")</f>
        <v>#REF!</v>
      </c>
      <c r="HB72" t="e">
        <f>AND(#REF!,"AAAAAGdf+9E=")</f>
        <v>#REF!</v>
      </c>
      <c r="HC72" t="e">
        <f>AND(#REF!,"AAAAAGdf+9I=")</f>
        <v>#REF!</v>
      </c>
      <c r="HD72" t="e">
        <f>AND(#REF!,"AAAAAGdf+9M=")</f>
        <v>#REF!</v>
      </c>
      <c r="HE72" t="e">
        <f>AND(#REF!,"AAAAAGdf+9Q=")</f>
        <v>#REF!</v>
      </c>
      <c r="HF72" t="e">
        <f>AND(#REF!,"AAAAAGdf+9U=")</f>
        <v>#REF!</v>
      </c>
      <c r="HG72" t="e">
        <f>AND(#REF!,"AAAAAGdf+9Y=")</f>
        <v>#REF!</v>
      </c>
      <c r="HH72" t="e">
        <f>AND(#REF!,"AAAAAGdf+9c=")</f>
        <v>#REF!</v>
      </c>
      <c r="HI72" t="e">
        <f>AND(#REF!,"AAAAAGdf+9g=")</f>
        <v>#REF!</v>
      </c>
      <c r="HJ72" t="e">
        <f>AND(#REF!,"AAAAAGdf+9k=")</f>
        <v>#REF!</v>
      </c>
      <c r="HK72" t="e">
        <f>AND(#REF!,"AAAAAGdf+9o=")</f>
        <v>#REF!</v>
      </c>
      <c r="HL72" t="e">
        <f>AND(#REF!,"AAAAAGdf+9s=")</f>
        <v>#REF!</v>
      </c>
      <c r="HM72" t="e">
        <f>AND(#REF!,"AAAAAGdf+9w=")</f>
        <v>#REF!</v>
      </c>
      <c r="HN72" t="e">
        <f>AND(#REF!,"AAAAAGdf+90=")</f>
        <v>#REF!</v>
      </c>
      <c r="HO72" t="e">
        <f>AND(#REF!,"AAAAAGdf+94=")</f>
        <v>#REF!</v>
      </c>
      <c r="HP72" t="e">
        <f>AND(#REF!,"AAAAAGdf+98=")</f>
        <v>#REF!</v>
      </c>
      <c r="HQ72" t="e">
        <f>AND(#REF!,"AAAAAGdf++A=")</f>
        <v>#REF!</v>
      </c>
      <c r="HR72" t="e">
        <f>AND(#REF!,"AAAAAGdf++E=")</f>
        <v>#REF!</v>
      </c>
      <c r="HS72" t="e">
        <f>AND(#REF!,"AAAAAGdf++I=")</f>
        <v>#REF!</v>
      </c>
      <c r="HT72" t="e">
        <f>AND(#REF!,"AAAAAGdf++M=")</f>
        <v>#REF!</v>
      </c>
      <c r="HU72" t="e">
        <f>AND(#REF!,"AAAAAGdf++Q=")</f>
        <v>#REF!</v>
      </c>
      <c r="HV72" t="e">
        <f>AND(#REF!,"AAAAAGdf++U=")</f>
        <v>#REF!</v>
      </c>
      <c r="HW72" t="e">
        <f>AND(#REF!,"AAAAAGdf++Y=")</f>
        <v>#REF!</v>
      </c>
      <c r="HX72" t="e">
        <f>AND(#REF!,"AAAAAGdf++c=")</f>
        <v>#REF!</v>
      </c>
      <c r="HY72" t="e">
        <f>AND(#REF!,"AAAAAGdf++g=")</f>
        <v>#REF!</v>
      </c>
      <c r="HZ72" t="e">
        <f>AND(#REF!,"AAAAAGdf++k=")</f>
        <v>#REF!</v>
      </c>
      <c r="IA72" t="e">
        <f>AND(#REF!,"AAAAAGdf++o=")</f>
        <v>#REF!</v>
      </c>
      <c r="IB72" t="e">
        <f>AND(#REF!,"AAAAAGdf++s=")</f>
        <v>#REF!</v>
      </c>
      <c r="IC72" t="e">
        <f>AND(#REF!,"AAAAAGdf++w=")</f>
        <v>#REF!</v>
      </c>
      <c r="ID72" t="e">
        <f>AND(#REF!,"AAAAAGdf++0=")</f>
        <v>#REF!</v>
      </c>
      <c r="IE72" t="e">
        <f>AND(#REF!,"AAAAAGdf++4=")</f>
        <v>#REF!</v>
      </c>
      <c r="IF72" t="e">
        <f>AND(#REF!,"AAAAAGdf++8=")</f>
        <v>#REF!</v>
      </c>
      <c r="IG72" t="e">
        <f>AND(#REF!,"AAAAAGdf+/A=")</f>
        <v>#REF!</v>
      </c>
      <c r="IH72" t="e">
        <f>AND(#REF!,"AAAAAGdf+/E=")</f>
        <v>#REF!</v>
      </c>
      <c r="II72" t="e">
        <f>AND(#REF!,"AAAAAGdf+/I=")</f>
        <v>#REF!</v>
      </c>
      <c r="IJ72" t="e">
        <f>AND(#REF!,"AAAAAGdf+/M=")</f>
        <v>#REF!</v>
      </c>
      <c r="IK72" t="e">
        <f>AND(#REF!,"AAAAAGdf+/Q=")</f>
        <v>#REF!</v>
      </c>
      <c r="IL72" t="e">
        <f>AND(#REF!,"AAAAAGdf+/U=")</f>
        <v>#REF!</v>
      </c>
      <c r="IM72" t="e">
        <f>AND(#REF!,"AAAAAGdf+/Y=")</f>
        <v>#REF!</v>
      </c>
      <c r="IN72" t="e">
        <f>AND(#REF!,"AAAAAGdf+/c=")</f>
        <v>#REF!</v>
      </c>
      <c r="IO72" t="e">
        <f>AND(#REF!,"AAAAAGdf+/g=")</f>
        <v>#REF!</v>
      </c>
      <c r="IP72" t="e">
        <f>AND(#REF!,"AAAAAGdf+/k=")</f>
        <v>#REF!</v>
      </c>
      <c r="IQ72" t="e">
        <f>AND(#REF!,"AAAAAGdf+/o=")</f>
        <v>#REF!</v>
      </c>
      <c r="IR72" t="e">
        <f>AND(#REF!,"AAAAAGdf+/s=")</f>
        <v>#REF!</v>
      </c>
      <c r="IS72" t="e">
        <f>AND(#REF!,"AAAAAGdf+/w=")</f>
        <v>#REF!</v>
      </c>
      <c r="IT72" t="e">
        <f>AND(#REF!,"AAAAAGdf+/0=")</f>
        <v>#REF!</v>
      </c>
      <c r="IU72" t="e">
        <f>AND(#REF!,"AAAAAGdf+/4=")</f>
        <v>#REF!</v>
      </c>
      <c r="IV72" t="e">
        <f>AND(#REF!,"AAAAAGdf+/8=")</f>
        <v>#REF!</v>
      </c>
    </row>
    <row r="73" spans="1:256" x14ac:dyDescent="0.2">
      <c r="A73" t="e">
        <f>AND(#REF!,"AAAAAGv97wA=")</f>
        <v>#REF!</v>
      </c>
      <c r="B73" t="e">
        <f>AND(#REF!,"AAAAAGv97wE=")</f>
        <v>#REF!</v>
      </c>
      <c r="C73" t="e">
        <f>AND(#REF!,"AAAAAGv97wI=")</f>
        <v>#REF!</v>
      </c>
      <c r="D73" t="e">
        <f>AND(#REF!,"AAAAAGv97wM=")</f>
        <v>#REF!</v>
      </c>
      <c r="E73" t="e">
        <f>AND(#REF!,"AAAAAGv97wQ=")</f>
        <v>#REF!</v>
      </c>
      <c r="F73" t="e">
        <f>AND(#REF!,"AAAAAGv97wU=")</f>
        <v>#REF!</v>
      </c>
      <c r="G73" t="e">
        <f>AND(#REF!,"AAAAAGv97wY=")</f>
        <v>#REF!</v>
      </c>
      <c r="H73" t="e">
        <f>AND(#REF!,"AAAAAGv97wc=")</f>
        <v>#REF!</v>
      </c>
      <c r="I73" t="e">
        <f>AND(#REF!,"AAAAAGv97wg=")</f>
        <v>#REF!</v>
      </c>
      <c r="J73" t="e">
        <f>AND(#REF!,"AAAAAGv97wk=")</f>
        <v>#REF!</v>
      </c>
      <c r="K73" t="e">
        <f>AND(#REF!,"AAAAAGv97wo=")</f>
        <v>#REF!</v>
      </c>
      <c r="L73" t="e">
        <f>AND(#REF!,"AAAAAGv97ws=")</f>
        <v>#REF!</v>
      </c>
      <c r="M73" t="e">
        <f>AND(#REF!,"AAAAAGv97ww=")</f>
        <v>#REF!</v>
      </c>
      <c r="N73" t="e">
        <f>AND(#REF!,"AAAAAGv97w0=")</f>
        <v>#REF!</v>
      </c>
      <c r="O73" t="e">
        <f>AND(#REF!,"AAAAAGv97w4=")</f>
        <v>#REF!</v>
      </c>
      <c r="P73" t="e">
        <f>AND(#REF!,"AAAAAGv97w8=")</f>
        <v>#REF!</v>
      </c>
      <c r="Q73" t="e">
        <f>AND(#REF!,"AAAAAGv97xA=")</f>
        <v>#REF!</v>
      </c>
      <c r="R73" t="e">
        <f>AND(#REF!,"AAAAAGv97xE=")</f>
        <v>#REF!</v>
      </c>
      <c r="S73" t="e">
        <f>IF(#REF!,"AAAAAGv97xI=",0)</f>
        <v>#REF!</v>
      </c>
      <c r="T73" t="e">
        <f>AND(#REF!,"AAAAAGv97xM=")</f>
        <v>#REF!</v>
      </c>
      <c r="U73" t="e">
        <f>AND(#REF!,"AAAAAGv97xQ=")</f>
        <v>#REF!</v>
      </c>
      <c r="V73" t="e">
        <f>AND(#REF!,"AAAAAGv97xU=")</f>
        <v>#REF!</v>
      </c>
      <c r="W73" t="e">
        <f>AND(#REF!,"AAAAAGv97xY=")</f>
        <v>#REF!</v>
      </c>
      <c r="X73" t="e">
        <f>AND(#REF!,"AAAAAGv97xc=")</f>
        <v>#REF!</v>
      </c>
      <c r="Y73" t="e">
        <f>AND(#REF!,"AAAAAGv97xg=")</f>
        <v>#REF!</v>
      </c>
      <c r="Z73" t="e">
        <f>AND(#REF!,"AAAAAGv97xk=")</f>
        <v>#REF!</v>
      </c>
      <c r="AA73" t="e">
        <f>AND(#REF!,"AAAAAGv97xo=")</f>
        <v>#REF!</v>
      </c>
      <c r="AB73" t="e">
        <f>AND(#REF!,"AAAAAGv97xs=")</f>
        <v>#REF!</v>
      </c>
      <c r="AC73" t="e">
        <f>AND(#REF!,"AAAAAGv97xw=")</f>
        <v>#REF!</v>
      </c>
      <c r="AD73" t="e">
        <f>AND(#REF!,"AAAAAGv97x0=")</f>
        <v>#REF!</v>
      </c>
      <c r="AE73" t="e">
        <f>AND(#REF!,"AAAAAGv97x4=")</f>
        <v>#REF!</v>
      </c>
      <c r="AF73" t="e">
        <f>AND(#REF!,"AAAAAGv97x8=")</f>
        <v>#REF!</v>
      </c>
      <c r="AG73" t="e">
        <f>AND(#REF!,"AAAAAGv97yA=")</f>
        <v>#REF!</v>
      </c>
      <c r="AH73" t="e">
        <f>AND(#REF!,"AAAAAGv97yE=")</f>
        <v>#REF!</v>
      </c>
      <c r="AI73" t="e">
        <f>AND(#REF!,"AAAAAGv97yI=")</f>
        <v>#REF!</v>
      </c>
      <c r="AJ73" t="e">
        <f>AND(#REF!,"AAAAAGv97yM=")</f>
        <v>#REF!</v>
      </c>
      <c r="AK73" t="e">
        <f>AND(#REF!,"AAAAAGv97yQ=")</f>
        <v>#REF!</v>
      </c>
      <c r="AL73" t="e">
        <f>AND(#REF!,"AAAAAGv97yU=")</f>
        <v>#REF!</v>
      </c>
      <c r="AM73" t="e">
        <f>AND(#REF!,"AAAAAGv97yY=")</f>
        <v>#REF!</v>
      </c>
      <c r="AN73" t="e">
        <f>AND(#REF!,"AAAAAGv97yc=")</f>
        <v>#REF!</v>
      </c>
      <c r="AO73" t="e">
        <f>AND(#REF!,"AAAAAGv97yg=")</f>
        <v>#REF!</v>
      </c>
      <c r="AP73" t="e">
        <f>AND(#REF!,"AAAAAGv97yk=")</f>
        <v>#REF!</v>
      </c>
      <c r="AQ73" t="e">
        <f>AND(#REF!,"AAAAAGv97yo=")</f>
        <v>#REF!</v>
      </c>
      <c r="AR73" t="e">
        <f>AND(#REF!,"AAAAAGv97ys=")</f>
        <v>#REF!</v>
      </c>
      <c r="AS73" t="e">
        <f>AND(#REF!,"AAAAAGv97yw=")</f>
        <v>#REF!</v>
      </c>
      <c r="AT73" t="e">
        <f>AND(#REF!,"AAAAAGv97y0=")</f>
        <v>#REF!</v>
      </c>
      <c r="AU73" t="e">
        <f>AND(#REF!,"AAAAAGv97y4=")</f>
        <v>#REF!</v>
      </c>
      <c r="AV73" t="e">
        <f>AND(#REF!,"AAAAAGv97y8=")</f>
        <v>#REF!</v>
      </c>
      <c r="AW73" t="e">
        <f>AND(#REF!,"AAAAAGv97zA=")</f>
        <v>#REF!</v>
      </c>
      <c r="AX73" t="e">
        <f>AND(#REF!,"AAAAAGv97zE=")</f>
        <v>#REF!</v>
      </c>
      <c r="AY73" t="e">
        <f>AND(#REF!,"AAAAAGv97zI=")</f>
        <v>#REF!</v>
      </c>
      <c r="AZ73" t="e">
        <f>AND(#REF!,"AAAAAGv97zM=")</f>
        <v>#REF!</v>
      </c>
      <c r="BA73" t="e">
        <f>AND(#REF!,"AAAAAGv97zQ=")</f>
        <v>#REF!</v>
      </c>
      <c r="BB73" t="e">
        <f>AND(#REF!,"AAAAAGv97zU=")</f>
        <v>#REF!</v>
      </c>
      <c r="BC73" t="e">
        <f>AND(#REF!,"AAAAAGv97zY=")</f>
        <v>#REF!</v>
      </c>
      <c r="BD73" t="e">
        <f>AND(#REF!,"AAAAAGv97zc=")</f>
        <v>#REF!</v>
      </c>
      <c r="BE73" t="e">
        <f>AND(#REF!,"AAAAAGv97zg=")</f>
        <v>#REF!</v>
      </c>
      <c r="BF73" t="e">
        <f>AND(#REF!,"AAAAAGv97zk=")</f>
        <v>#REF!</v>
      </c>
      <c r="BG73" t="e">
        <f>AND(#REF!,"AAAAAGv97zo=")</f>
        <v>#REF!</v>
      </c>
      <c r="BH73" t="e">
        <f>AND(#REF!,"AAAAAGv97zs=")</f>
        <v>#REF!</v>
      </c>
      <c r="BI73" t="e">
        <f>AND(#REF!,"AAAAAGv97zw=")</f>
        <v>#REF!</v>
      </c>
      <c r="BJ73" t="e">
        <f>AND(#REF!,"AAAAAGv97z0=")</f>
        <v>#REF!</v>
      </c>
      <c r="BK73" t="e">
        <f>AND(#REF!,"AAAAAGv97z4=")</f>
        <v>#REF!</v>
      </c>
      <c r="BL73" t="e">
        <f>AND(#REF!,"AAAAAGv97z8=")</f>
        <v>#REF!</v>
      </c>
      <c r="BM73" t="e">
        <f>AND(#REF!,"AAAAAGv970A=")</f>
        <v>#REF!</v>
      </c>
      <c r="BN73" t="e">
        <f>AND(#REF!,"AAAAAGv970E=")</f>
        <v>#REF!</v>
      </c>
      <c r="BO73" t="e">
        <f>AND(#REF!,"AAAAAGv970I=")</f>
        <v>#REF!</v>
      </c>
      <c r="BP73" t="e">
        <f>AND(#REF!,"AAAAAGv970M=")</f>
        <v>#REF!</v>
      </c>
      <c r="BQ73" t="e">
        <f>AND(#REF!,"AAAAAGv970Q=")</f>
        <v>#REF!</v>
      </c>
      <c r="BR73" t="e">
        <f>AND(#REF!,"AAAAAGv970U=")</f>
        <v>#REF!</v>
      </c>
      <c r="BS73" t="e">
        <f>AND(#REF!,"AAAAAGv970Y=")</f>
        <v>#REF!</v>
      </c>
      <c r="BT73" t="e">
        <f>AND(#REF!,"AAAAAGv970c=")</f>
        <v>#REF!</v>
      </c>
      <c r="BU73" t="e">
        <f>AND(#REF!,"AAAAAGv970g=")</f>
        <v>#REF!</v>
      </c>
      <c r="BV73" t="e">
        <f>AND(#REF!,"AAAAAGv970k=")</f>
        <v>#REF!</v>
      </c>
      <c r="BW73" t="e">
        <f>AND(#REF!,"AAAAAGv970o=")</f>
        <v>#REF!</v>
      </c>
      <c r="BX73" t="e">
        <f>AND(#REF!,"AAAAAGv970s=")</f>
        <v>#REF!</v>
      </c>
      <c r="BY73" t="e">
        <f>AND(#REF!,"AAAAAGv970w=")</f>
        <v>#REF!</v>
      </c>
      <c r="BZ73" t="e">
        <f>AND(#REF!,"AAAAAGv9700=")</f>
        <v>#REF!</v>
      </c>
      <c r="CA73" t="e">
        <f>AND(#REF!,"AAAAAGv9704=")</f>
        <v>#REF!</v>
      </c>
      <c r="CB73" t="e">
        <f>AND(#REF!,"AAAAAGv9708=")</f>
        <v>#REF!</v>
      </c>
      <c r="CC73" t="e">
        <f>AND(#REF!,"AAAAAGv971A=")</f>
        <v>#REF!</v>
      </c>
      <c r="CD73" t="e">
        <f>AND(#REF!,"AAAAAGv971E=")</f>
        <v>#REF!</v>
      </c>
      <c r="CE73" t="e">
        <f>AND(#REF!,"AAAAAGv971I=")</f>
        <v>#REF!</v>
      </c>
      <c r="CF73" t="e">
        <f>AND(#REF!,"AAAAAGv971M=")</f>
        <v>#REF!</v>
      </c>
      <c r="CG73" t="e">
        <f>AND(#REF!,"AAAAAGv971Q=")</f>
        <v>#REF!</v>
      </c>
      <c r="CH73" t="e">
        <f>AND(#REF!,"AAAAAGv971U=")</f>
        <v>#REF!</v>
      </c>
      <c r="CI73" t="e">
        <f>AND(#REF!,"AAAAAGv971Y=")</f>
        <v>#REF!</v>
      </c>
      <c r="CJ73" t="e">
        <f>AND(#REF!,"AAAAAGv971c=")</f>
        <v>#REF!</v>
      </c>
      <c r="CK73" t="e">
        <f>AND(#REF!,"AAAAAGv971g=")</f>
        <v>#REF!</v>
      </c>
      <c r="CL73" t="e">
        <f>AND(#REF!,"AAAAAGv971k=")</f>
        <v>#REF!</v>
      </c>
      <c r="CM73" t="e">
        <f>AND(#REF!,"AAAAAGv971o=")</f>
        <v>#REF!</v>
      </c>
      <c r="CN73" t="e">
        <f>AND(#REF!,"AAAAAGv971s=")</f>
        <v>#REF!</v>
      </c>
      <c r="CO73" t="e">
        <f>AND(#REF!,"AAAAAGv971w=")</f>
        <v>#REF!</v>
      </c>
      <c r="CP73" t="e">
        <f>IF(#REF!,"AAAAAGv9710=",0)</f>
        <v>#REF!</v>
      </c>
      <c r="CQ73" t="e">
        <f>AND(#REF!,"AAAAAGv9714=")</f>
        <v>#REF!</v>
      </c>
      <c r="CR73" t="e">
        <f>AND(#REF!,"AAAAAGv9718=")</f>
        <v>#REF!</v>
      </c>
      <c r="CS73" t="e">
        <f>AND(#REF!,"AAAAAGv972A=")</f>
        <v>#REF!</v>
      </c>
      <c r="CT73" t="e">
        <f>AND(#REF!,"AAAAAGv972E=")</f>
        <v>#REF!</v>
      </c>
      <c r="CU73" t="e">
        <f>AND(#REF!,"AAAAAGv972I=")</f>
        <v>#REF!</v>
      </c>
      <c r="CV73" t="e">
        <f>AND(#REF!,"AAAAAGv972M=")</f>
        <v>#REF!</v>
      </c>
      <c r="CW73" t="e">
        <f>AND(#REF!,"AAAAAGv972Q=")</f>
        <v>#REF!</v>
      </c>
      <c r="CX73" t="e">
        <f>AND(#REF!,"AAAAAGv972U=")</f>
        <v>#REF!</v>
      </c>
      <c r="CY73" t="e">
        <f>AND(#REF!,"AAAAAGv972Y=")</f>
        <v>#REF!</v>
      </c>
      <c r="CZ73" t="e">
        <f>AND(#REF!,"AAAAAGv972c=")</f>
        <v>#REF!</v>
      </c>
      <c r="DA73" t="e">
        <f>AND(#REF!,"AAAAAGv972g=")</f>
        <v>#REF!</v>
      </c>
      <c r="DB73" t="e">
        <f>AND(#REF!,"AAAAAGv972k=")</f>
        <v>#REF!</v>
      </c>
      <c r="DC73" t="e">
        <f>AND(#REF!,"AAAAAGv972o=")</f>
        <v>#REF!</v>
      </c>
      <c r="DD73" t="e">
        <f>AND(#REF!,"AAAAAGv972s=")</f>
        <v>#REF!</v>
      </c>
      <c r="DE73" t="e">
        <f>AND(#REF!,"AAAAAGv972w=")</f>
        <v>#REF!</v>
      </c>
      <c r="DF73" t="e">
        <f>AND(#REF!,"AAAAAGv9720=")</f>
        <v>#REF!</v>
      </c>
      <c r="DG73" t="e">
        <f>AND(#REF!,"AAAAAGv9724=")</f>
        <v>#REF!</v>
      </c>
      <c r="DH73" t="e">
        <f>AND(#REF!,"AAAAAGv9728=")</f>
        <v>#REF!</v>
      </c>
      <c r="DI73" t="e">
        <f>AND(#REF!,"AAAAAGv973A=")</f>
        <v>#REF!</v>
      </c>
      <c r="DJ73" t="e">
        <f>AND(#REF!,"AAAAAGv973E=")</f>
        <v>#REF!</v>
      </c>
      <c r="DK73" t="e">
        <f>AND(#REF!,"AAAAAGv973I=")</f>
        <v>#REF!</v>
      </c>
      <c r="DL73" t="e">
        <f>AND(#REF!,"AAAAAGv973M=")</f>
        <v>#REF!</v>
      </c>
      <c r="DM73" t="e">
        <f>AND(#REF!,"AAAAAGv973Q=")</f>
        <v>#REF!</v>
      </c>
      <c r="DN73" t="e">
        <f>AND(#REF!,"AAAAAGv973U=")</f>
        <v>#REF!</v>
      </c>
      <c r="DO73" t="e">
        <f>AND(#REF!,"AAAAAGv973Y=")</f>
        <v>#REF!</v>
      </c>
      <c r="DP73" t="e">
        <f>AND(#REF!,"AAAAAGv973c=")</f>
        <v>#REF!</v>
      </c>
      <c r="DQ73" t="e">
        <f>AND(#REF!,"AAAAAGv973g=")</f>
        <v>#REF!</v>
      </c>
      <c r="DR73" t="e">
        <f>AND(#REF!,"AAAAAGv973k=")</f>
        <v>#REF!</v>
      </c>
      <c r="DS73" t="e">
        <f>AND(#REF!,"AAAAAGv973o=")</f>
        <v>#REF!</v>
      </c>
      <c r="DT73" t="e">
        <f>AND(#REF!,"AAAAAGv973s=")</f>
        <v>#REF!</v>
      </c>
      <c r="DU73" t="e">
        <f>AND(#REF!,"AAAAAGv973w=")</f>
        <v>#REF!</v>
      </c>
      <c r="DV73" t="e">
        <f>AND(#REF!,"AAAAAGv9730=")</f>
        <v>#REF!</v>
      </c>
      <c r="DW73" t="e">
        <f>AND(#REF!,"AAAAAGv9734=")</f>
        <v>#REF!</v>
      </c>
      <c r="DX73" t="e">
        <f>AND(#REF!,"AAAAAGv9738=")</f>
        <v>#REF!</v>
      </c>
      <c r="DY73" t="e">
        <f>AND(#REF!,"AAAAAGv974A=")</f>
        <v>#REF!</v>
      </c>
      <c r="DZ73" t="e">
        <f>AND(#REF!,"AAAAAGv974E=")</f>
        <v>#REF!</v>
      </c>
      <c r="EA73" t="e">
        <f>AND(#REF!,"AAAAAGv974I=")</f>
        <v>#REF!</v>
      </c>
      <c r="EB73" t="e">
        <f>AND(#REF!,"AAAAAGv974M=")</f>
        <v>#REF!</v>
      </c>
      <c r="EC73" t="e">
        <f>AND(#REF!,"AAAAAGv974Q=")</f>
        <v>#REF!</v>
      </c>
      <c r="ED73" t="e">
        <f>AND(#REF!,"AAAAAGv974U=")</f>
        <v>#REF!</v>
      </c>
      <c r="EE73" t="e">
        <f>AND(#REF!,"AAAAAGv974Y=")</f>
        <v>#REF!</v>
      </c>
      <c r="EF73" t="e">
        <f>AND(#REF!,"AAAAAGv974c=")</f>
        <v>#REF!</v>
      </c>
      <c r="EG73" t="e">
        <f>AND(#REF!,"AAAAAGv974g=")</f>
        <v>#REF!</v>
      </c>
      <c r="EH73" t="e">
        <f>AND(#REF!,"AAAAAGv974k=")</f>
        <v>#REF!</v>
      </c>
      <c r="EI73" t="e">
        <f>AND(#REF!,"AAAAAGv974o=")</f>
        <v>#REF!</v>
      </c>
      <c r="EJ73" t="e">
        <f>AND(#REF!,"AAAAAGv974s=")</f>
        <v>#REF!</v>
      </c>
      <c r="EK73" t="e">
        <f>AND(#REF!,"AAAAAGv974w=")</f>
        <v>#REF!</v>
      </c>
      <c r="EL73" t="e">
        <f>AND(#REF!,"AAAAAGv9740=")</f>
        <v>#REF!</v>
      </c>
      <c r="EM73" t="e">
        <f>AND(#REF!,"AAAAAGv9744=")</f>
        <v>#REF!</v>
      </c>
      <c r="EN73" t="e">
        <f>AND(#REF!,"AAAAAGv9748=")</f>
        <v>#REF!</v>
      </c>
      <c r="EO73" t="e">
        <f>AND(#REF!,"AAAAAGv975A=")</f>
        <v>#REF!</v>
      </c>
      <c r="EP73" t="e">
        <f>AND(#REF!,"AAAAAGv975E=")</f>
        <v>#REF!</v>
      </c>
      <c r="EQ73" t="e">
        <f>AND(#REF!,"AAAAAGv975I=")</f>
        <v>#REF!</v>
      </c>
      <c r="ER73" t="e">
        <f>AND(#REF!,"AAAAAGv975M=")</f>
        <v>#REF!</v>
      </c>
      <c r="ES73" t="e">
        <f>AND(#REF!,"AAAAAGv975Q=")</f>
        <v>#REF!</v>
      </c>
      <c r="ET73" t="e">
        <f>AND(#REF!,"AAAAAGv975U=")</f>
        <v>#REF!</v>
      </c>
      <c r="EU73" t="e">
        <f>AND(#REF!,"AAAAAGv975Y=")</f>
        <v>#REF!</v>
      </c>
      <c r="EV73" t="e">
        <f>AND(#REF!,"AAAAAGv975c=")</f>
        <v>#REF!</v>
      </c>
      <c r="EW73" t="e">
        <f>AND(#REF!,"AAAAAGv975g=")</f>
        <v>#REF!</v>
      </c>
      <c r="EX73" t="e">
        <f>AND(#REF!,"AAAAAGv975k=")</f>
        <v>#REF!</v>
      </c>
      <c r="EY73" t="e">
        <f>AND(#REF!,"AAAAAGv975o=")</f>
        <v>#REF!</v>
      </c>
      <c r="EZ73" t="e">
        <f>AND(#REF!,"AAAAAGv975s=")</f>
        <v>#REF!</v>
      </c>
      <c r="FA73" t="e">
        <f>AND(#REF!,"AAAAAGv975w=")</f>
        <v>#REF!</v>
      </c>
      <c r="FB73" t="e">
        <f>AND(#REF!,"AAAAAGv9750=")</f>
        <v>#REF!</v>
      </c>
      <c r="FC73" t="e">
        <f>AND(#REF!,"AAAAAGv9754=")</f>
        <v>#REF!</v>
      </c>
      <c r="FD73" t="e">
        <f>AND(#REF!,"AAAAAGv9758=")</f>
        <v>#REF!</v>
      </c>
      <c r="FE73" t="e">
        <f>AND(#REF!,"AAAAAGv976A=")</f>
        <v>#REF!</v>
      </c>
      <c r="FF73" t="e">
        <f>AND(#REF!,"AAAAAGv976E=")</f>
        <v>#REF!</v>
      </c>
      <c r="FG73" t="e">
        <f>AND(#REF!,"AAAAAGv976I=")</f>
        <v>#REF!</v>
      </c>
      <c r="FH73" t="e">
        <f>AND(#REF!,"AAAAAGv976M=")</f>
        <v>#REF!</v>
      </c>
      <c r="FI73" t="e">
        <f>AND(#REF!,"AAAAAGv976Q=")</f>
        <v>#REF!</v>
      </c>
      <c r="FJ73" t="e">
        <f>AND(#REF!,"AAAAAGv976U=")</f>
        <v>#REF!</v>
      </c>
      <c r="FK73" t="e">
        <f>AND(#REF!,"AAAAAGv976Y=")</f>
        <v>#REF!</v>
      </c>
      <c r="FL73" t="e">
        <f>AND(#REF!,"AAAAAGv976c=")</f>
        <v>#REF!</v>
      </c>
      <c r="FM73" t="e">
        <f>IF(#REF!,"AAAAAGv976g=",0)</f>
        <v>#REF!</v>
      </c>
      <c r="FN73" t="e">
        <f>AND(#REF!,"AAAAAGv976k=")</f>
        <v>#REF!</v>
      </c>
      <c r="FO73" t="e">
        <f>AND(#REF!,"AAAAAGv976o=")</f>
        <v>#REF!</v>
      </c>
      <c r="FP73" t="e">
        <f>AND(#REF!,"AAAAAGv976s=")</f>
        <v>#REF!</v>
      </c>
      <c r="FQ73" t="e">
        <f>AND(#REF!,"AAAAAGv976w=")</f>
        <v>#REF!</v>
      </c>
      <c r="FR73" t="e">
        <f>AND(#REF!,"AAAAAGv9760=")</f>
        <v>#REF!</v>
      </c>
      <c r="FS73" t="e">
        <f>AND(#REF!,"AAAAAGv9764=")</f>
        <v>#REF!</v>
      </c>
      <c r="FT73" t="e">
        <f>AND(#REF!,"AAAAAGv9768=")</f>
        <v>#REF!</v>
      </c>
      <c r="FU73" t="e">
        <f>AND(#REF!,"AAAAAGv977A=")</f>
        <v>#REF!</v>
      </c>
      <c r="FV73" t="e">
        <f>AND(#REF!,"AAAAAGv977E=")</f>
        <v>#REF!</v>
      </c>
      <c r="FW73" t="e">
        <f>AND(#REF!,"AAAAAGv977I=")</f>
        <v>#REF!</v>
      </c>
      <c r="FX73" t="e">
        <f>AND(#REF!,"AAAAAGv977M=")</f>
        <v>#REF!</v>
      </c>
      <c r="FY73" t="e">
        <f>AND(#REF!,"AAAAAGv977Q=")</f>
        <v>#REF!</v>
      </c>
      <c r="FZ73" t="e">
        <f>AND(#REF!,"AAAAAGv977U=")</f>
        <v>#REF!</v>
      </c>
      <c r="GA73" t="e">
        <f>AND(#REF!,"AAAAAGv977Y=")</f>
        <v>#REF!</v>
      </c>
      <c r="GB73" t="e">
        <f>AND(#REF!,"AAAAAGv977c=")</f>
        <v>#REF!</v>
      </c>
      <c r="GC73" t="e">
        <f>AND(#REF!,"AAAAAGv977g=")</f>
        <v>#REF!</v>
      </c>
      <c r="GD73" t="e">
        <f>AND(#REF!,"AAAAAGv977k=")</f>
        <v>#REF!</v>
      </c>
      <c r="GE73" t="e">
        <f>AND(#REF!,"AAAAAGv977o=")</f>
        <v>#REF!</v>
      </c>
      <c r="GF73" t="e">
        <f>AND(#REF!,"AAAAAGv977s=")</f>
        <v>#REF!</v>
      </c>
      <c r="GG73" t="e">
        <f>AND(#REF!,"AAAAAGv977w=")</f>
        <v>#REF!</v>
      </c>
      <c r="GH73" t="e">
        <f>AND(#REF!,"AAAAAGv9770=")</f>
        <v>#REF!</v>
      </c>
      <c r="GI73" t="e">
        <f>AND(#REF!,"AAAAAGv9774=")</f>
        <v>#REF!</v>
      </c>
      <c r="GJ73" t="e">
        <f>AND(#REF!,"AAAAAGv9778=")</f>
        <v>#REF!</v>
      </c>
      <c r="GK73" t="e">
        <f>AND(#REF!,"AAAAAGv978A=")</f>
        <v>#REF!</v>
      </c>
      <c r="GL73" t="e">
        <f>AND(#REF!,"AAAAAGv978E=")</f>
        <v>#REF!</v>
      </c>
      <c r="GM73" t="e">
        <f>AND(#REF!,"AAAAAGv978I=")</f>
        <v>#REF!</v>
      </c>
      <c r="GN73" t="e">
        <f>AND(#REF!,"AAAAAGv978M=")</f>
        <v>#REF!</v>
      </c>
      <c r="GO73" t="e">
        <f>AND(#REF!,"AAAAAGv978Q=")</f>
        <v>#REF!</v>
      </c>
      <c r="GP73" t="e">
        <f>AND(#REF!,"AAAAAGv978U=")</f>
        <v>#REF!</v>
      </c>
      <c r="GQ73" t="e">
        <f>AND(#REF!,"AAAAAGv978Y=")</f>
        <v>#REF!</v>
      </c>
      <c r="GR73" t="e">
        <f>AND(#REF!,"AAAAAGv978c=")</f>
        <v>#REF!</v>
      </c>
      <c r="GS73" t="e">
        <f>AND(#REF!,"AAAAAGv978g=")</f>
        <v>#REF!</v>
      </c>
      <c r="GT73" t="e">
        <f>AND(#REF!,"AAAAAGv978k=")</f>
        <v>#REF!</v>
      </c>
      <c r="GU73" t="e">
        <f>AND(#REF!,"AAAAAGv978o=")</f>
        <v>#REF!</v>
      </c>
      <c r="GV73" t="e">
        <f>AND(#REF!,"AAAAAGv978s=")</f>
        <v>#REF!</v>
      </c>
      <c r="GW73" t="e">
        <f>AND(#REF!,"AAAAAGv978w=")</f>
        <v>#REF!</v>
      </c>
      <c r="GX73" t="e">
        <f>AND(#REF!,"AAAAAGv9780=")</f>
        <v>#REF!</v>
      </c>
      <c r="GY73" t="e">
        <f>AND(#REF!,"AAAAAGv9784=")</f>
        <v>#REF!</v>
      </c>
      <c r="GZ73" t="e">
        <f>AND(#REF!,"AAAAAGv9788=")</f>
        <v>#REF!</v>
      </c>
      <c r="HA73" t="e">
        <f>AND(#REF!,"AAAAAGv979A=")</f>
        <v>#REF!</v>
      </c>
      <c r="HB73" t="e">
        <f>AND(#REF!,"AAAAAGv979E=")</f>
        <v>#REF!</v>
      </c>
      <c r="HC73" t="e">
        <f>AND(#REF!,"AAAAAGv979I=")</f>
        <v>#REF!</v>
      </c>
      <c r="HD73" t="e">
        <f>AND(#REF!,"AAAAAGv979M=")</f>
        <v>#REF!</v>
      </c>
      <c r="HE73" t="e">
        <f>AND(#REF!,"AAAAAGv979Q=")</f>
        <v>#REF!</v>
      </c>
      <c r="HF73" t="e">
        <f>AND(#REF!,"AAAAAGv979U=")</f>
        <v>#REF!</v>
      </c>
      <c r="HG73" t="e">
        <f>AND(#REF!,"AAAAAGv979Y=")</f>
        <v>#REF!</v>
      </c>
      <c r="HH73" t="e">
        <f>AND(#REF!,"AAAAAGv979c=")</f>
        <v>#REF!</v>
      </c>
      <c r="HI73" t="e">
        <f>AND(#REF!,"AAAAAGv979g=")</f>
        <v>#REF!</v>
      </c>
      <c r="HJ73" t="e">
        <f>AND(#REF!,"AAAAAGv979k=")</f>
        <v>#REF!</v>
      </c>
      <c r="HK73" t="e">
        <f>AND(#REF!,"AAAAAGv979o=")</f>
        <v>#REF!</v>
      </c>
      <c r="HL73" t="e">
        <f>AND(#REF!,"AAAAAGv979s=")</f>
        <v>#REF!</v>
      </c>
      <c r="HM73" t="e">
        <f>AND(#REF!,"AAAAAGv979w=")</f>
        <v>#REF!</v>
      </c>
      <c r="HN73" t="e">
        <f>AND(#REF!,"AAAAAGv9790=")</f>
        <v>#REF!</v>
      </c>
      <c r="HO73" t="e">
        <f>AND(#REF!,"AAAAAGv9794=")</f>
        <v>#REF!</v>
      </c>
      <c r="HP73" t="e">
        <f>AND(#REF!,"AAAAAGv9798=")</f>
        <v>#REF!</v>
      </c>
      <c r="HQ73" t="e">
        <f>AND(#REF!,"AAAAAGv97+A=")</f>
        <v>#REF!</v>
      </c>
      <c r="HR73" t="e">
        <f>AND(#REF!,"AAAAAGv97+E=")</f>
        <v>#REF!</v>
      </c>
      <c r="HS73" t="e">
        <f>AND(#REF!,"AAAAAGv97+I=")</f>
        <v>#REF!</v>
      </c>
      <c r="HT73" t="e">
        <f>AND(#REF!,"AAAAAGv97+M=")</f>
        <v>#REF!</v>
      </c>
      <c r="HU73" t="e">
        <f>AND(#REF!,"AAAAAGv97+Q=")</f>
        <v>#REF!</v>
      </c>
      <c r="HV73" t="e">
        <f>AND(#REF!,"AAAAAGv97+U=")</f>
        <v>#REF!</v>
      </c>
      <c r="HW73" t="e">
        <f>AND(#REF!,"AAAAAGv97+Y=")</f>
        <v>#REF!</v>
      </c>
      <c r="HX73" t="e">
        <f>AND(#REF!,"AAAAAGv97+c=")</f>
        <v>#REF!</v>
      </c>
      <c r="HY73" t="e">
        <f>AND(#REF!,"AAAAAGv97+g=")</f>
        <v>#REF!</v>
      </c>
      <c r="HZ73" t="e">
        <f>AND(#REF!,"AAAAAGv97+k=")</f>
        <v>#REF!</v>
      </c>
      <c r="IA73" t="e">
        <f>AND(#REF!,"AAAAAGv97+o=")</f>
        <v>#REF!</v>
      </c>
      <c r="IB73" t="e">
        <f>AND(#REF!,"AAAAAGv97+s=")</f>
        <v>#REF!</v>
      </c>
      <c r="IC73" t="e">
        <f>AND(#REF!,"AAAAAGv97+w=")</f>
        <v>#REF!</v>
      </c>
      <c r="ID73" t="e">
        <f>AND(#REF!,"AAAAAGv97+0=")</f>
        <v>#REF!</v>
      </c>
      <c r="IE73" t="e">
        <f>AND(#REF!,"AAAAAGv97+4=")</f>
        <v>#REF!</v>
      </c>
      <c r="IF73" t="e">
        <f>AND(#REF!,"AAAAAGv97+8=")</f>
        <v>#REF!</v>
      </c>
      <c r="IG73" t="e">
        <f>AND(#REF!,"AAAAAGv97/A=")</f>
        <v>#REF!</v>
      </c>
      <c r="IH73" t="e">
        <f>AND(#REF!,"AAAAAGv97/E=")</f>
        <v>#REF!</v>
      </c>
      <c r="II73" t="e">
        <f>AND(#REF!,"AAAAAGv97/I=")</f>
        <v>#REF!</v>
      </c>
      <c r="IJ73" t="e">
        <f>IF(#REF!,"AAAAAGv97/M=",0)</f>
        <v>#REF!</v>
      </c>
      <c r="IK73" t="e">
        <f>AND(#REF!,"AAAAAGv97/Q=")</f>
        <v>#REF!</v>
      </c>
      <c r="IL73" t="e">
        <f>AND(#REF!,"AAAAAGv97/U=")</f>
        <v>#REF!</v>
      </c>
      <c r="IM73" t="e">
        <f>AND(#REF!,"AAAAAGv97/Y=")</f>
        <v>#REF!</v>
      </c>
      <c r="IN73" t="e">
        <f>AND(#REF!,"AAAAAGv97/c=")</f>
        <v>#REF!</v>
      </c>
      <c r="IO73" t="e">
        <f>AND(#REF!,"AAAAAGv97/g=")</f>
        <v>#REF!</v>
      </c>
      <c r="IP73" t="e">
        <f>AND(#REF!,"AAAAAGv97/k=")</f>
        <v>#REF!</v>
      </c>
      <c r="IQ73" t="e">
        <f>AND(#REF!,"AAAAAGv97/o=")</f>
        <v>#REF!</v>
      </c>
      <c r="IR73" t="e">
        <f>AND(#REF!,"AAAAAGv97/s=")</f>
        <v>#REF!</v>
      </c>
      <c r="IS73" t="e">
        <f>AND(#REF!,"AAAAAGv97/w=")</f>
        <v>#REF!</v>
      </c>
      <c r="IT73" t="e">
        <f>AND(#REF!,"AAAAAGv97/0=")</f>
        <v>#REF!</v>
      </c>
      <c r="IU73" t="e">
        <f>AND(#REF!,"AAAAAGv97/4=")</f>
        <v>#REF!</v>
      </c>
      <c r="IV73" t="e">
        <f>AND(#REF!,"AAAAAGv97/8=")</f>
        <v>#REF!</v>
      </c>
    </row>
    <row r="74" spans="1:256" x14ac:dyDescent="0.2">
      <c r="A74" t="e">
        <f>AND(#REF!,"AAAAAH/9/wA=")</f>
        <v>#REF!</v>
      </c>
      <c r="B74" t="e">
        <f>AND(#REF!,"AAAAAH/9/wE=")</f>
        <v>#REF!</v>
      </c>
      <c r="C74" t="e">
        <f>AND(#REF!,"AAAAAH/9/wI=")</f>
        <v>#REF!</v>
      </c>
      <c r="D74" t="e">
        <f>AND(#REF!,"AAAAAH/9/wM=")</f>
        <v>#REF!</v>
      </c>
      <c r="E74" t="e">
        <f>AND(#REF!,"AAAAAH/9/wQ=")</f>
        <v>#REF!</v>
      </c>
      <c r="F74" t="e">
        <f>AND(#REF!,"AAAAAH/9/wU=")</f>
        <v>#REF!</v>
      </c>
      <c r="G74" t="e">
        <f>AND(#REF!,"AAAAAH/9/wY=")</f>
        <v>#REF!</v>
      </c>
      <c r="H74" t="e">
        <f>AND(#REF!,"AAAAAH/9/wc=")</f>
        <v>#REF!</v>
      </c>
      <c r="I74" t="e">
        <f>AND(#REF!,"AAAAAH/9/wg=")</f>
        <v>#REF!</v>
      </c>
      <c r="J74" t="e">
        <f>AND(#REF!,"AAAAAH/9/wk=")</f>
        <v>#REF!</v>
      </c>
      <c r="K74" t="e">
        <f>AND(#REF!,"AAAAAH/9/wo=")</f>
        <v>#REF!</v>
      </c>
      <c r="L74" t="e">
        <f>AND(#REF!,"AAAAAH/9/ws=")</f>
        <v>#REF!</v>
      </c>
      <c r="M74" t="e">
        <f>AND(#REF!,"AAAAAH/9/ww=")</f>
        <v>#REF!</v>
      </c>
      <c r="N74" t="e">
        <f>AND(#REF!,"AAAAAH/9/w0=")</f>
        <v>#REF!</v>
      </c>
      <c r="O74" t="e">
        <f>AND(#REF!,"AAAAAH/9/w4=")</f>
        <v>#REF!</v>
      </c>
      <c r="P74" t="e">
        <f>AND(#REF!,"AAAAAH/9/w8=")</f>
        <v>#REF!</v>
      </c>
      <c r="Q74" t="e">
        <f>AND(#REF!,"AAAAAH/9/xA=")</f>
        <v>#REF!</v>
      </c>
      <c r="R74" t="e">
        <f>AND(#REF!,"AAAAAH/9/xE=")</f>
        <v>#REF!</v>
      </c>
      <c r="S74" t="e">
        <f>AND(#REF!,"AAAAAH/9/xI=")</f>
        <v>#REF!</v>
      </c>
      <c r="T74" t="e">
        <f>AND(#REF!,"AAAAAH/9/xM=")</f>
        <v>#REF!</v>
      </c>
      <c r="U74" t="e">
        <f>AND(#REF!,"AAAAAH/9/xQ=")</f>
        <v>#REF!</v>
      </c>
      <c r="V74" t="e">
        <f>AND(#REF!,"AAAAAH/9/xU=")</f>
        <v>#REF!</v>
      </c>
      <c r="W74" t="e">
        <f>AND(#REF!,"AAAAAH/9/xY=")</f>
        <v>#REF!</v>
      </c>
      <c r="X74" t="e">
        <f>AND(#REF!,"AAAAAH/9/xc=")</f>
        <v>#REF!</v>
      </c>
      <c r="Y74" t="e">
        <f>AND(#REF!,"AAAAAH/9/xg=")</f>
        <v>#REF!</v>
      </c>
      <c r="Z74" t="e">
        <f>AND(#REF!,"AAAAAH/9/xk=")</f>
        <v>#REF!</v>
      </c>
      <c r="AA74" t="e">
        <f>AND(#REF!,"AAAAAH/9/xo=")</f>
        <v>#REF!</v>
      </c>
      <c r="AB74" t="e">
        <f>AND(#REF!,"AAAAAH/9/xs=")</f>
        <v>#REF!</v>
      </c>
      <c r="AC74" t="e">
        <f>AND(#REF!,"AAAAAH/9/xw=")</f>
        <v>#REF!</v>
      </c>
      <c r="AD74" t="e">
        <f>AND(#REF!,"AAAAAH/9/x0=")</f>
        <v>#REF!</v>
      </c>
      <c r="AE74" t="e">
        <f>AND(#REF!,"AAAAAH/9/x4=")</f>
        <v>#REF!</v>
      </c>
      <c r="AF74" t="e">
        <f>AND(#REF!,"AAAAAH/9/x8=")</f>
        <v>#REF!</v>
      </c>
      <c r="AG74" t="e">
        <f>AND(#REF!,"AAAAAH/9/yA=")</f>
        <v>#REF!</v>
      </c>
      <c r="AH74" t="e">
        <f>AND(#REF!,"AAAAAH/9/yE=")</f>
        <v>#REF!</v>
      </c>
      <c r="AI74" t="e">
        <f>AND(#REF!,"AAAAAH/9/yI=")</f>
        <v>#REF!</v>
      </c>
      <c r="AJ74" t="e">
        <f>AND(#REF!,"AAAAAH/9/yM=")</f>
        <v>#REF!</v>
      </c>
      <c r="AK74" t="e">
        <f>AND(#REF!,"AAAAAH/9/yQ=")</f>
        <v>#REF!</v>
      </c>
      <c r="AL74" t="e">
        <f>AND(#REF!,"AAAAAH/9/yU=")</f>
        <v>#REF!</v>
      </c>
      <c r="AM74" t="e">
        <f>AND(#REF!,"AAAAAH/9/yY=")</f>
        <v>#REF!</v>
      </c>
      <c r="AN74" t="e">
        <f>AND(#REF!,"AAAAAH/9/yc=")</f>
        <v>#REF!</v>
      </c>
      <c r="AO74" t="e">
        <f>AND(#REF!,"AAAAAH/9/yg=")</f>
        <v>#REF!</v>
      </c>
      <c r="AP74" t="e">
        <f>AND(#REF!,"AAAAAH/9/yk=")</f>
        <v>#REF!</v>
      </c>
      <c r="AQ74" t="e">
        <f>AND(#REF!,"AAAAAH/9/yo=")</f>
        <v>#REF!</v>
      </c>
      <c r="AR74" t="e">
        <f>AND(#REF!,"AAAAAH/9/ys=")</f>
        <v>#REF!</v>
      </c>
      <c r="AS74" t="e">
        <f>AND(#REF!,"AAAAAH/9/yw=")</f>
        <v>#REF!</v>
      </c>
      <c r="AT74" t="e">
        <f>AND(#REF!,"AAAAAH/9/y0=")</f>
        <v>#REF!</v>
      </c>
      <c r="AU74" t="e">
        <f>AND(#REF!,"AAAAAH/9/y4=")</f>
        <v>#REF!</v>
      </c>
      <c r="AV74" t="e">
        <f>AND(#REF!,"AAAAAH/9/y8=")</f>
        <v>#REF!</v>
      </c>
      <c r="AW74" t="e">
        <f>AND(#REF!,"AAAAAH/9/zA=")</f>
        <v>#REF!</v>
      </c>
      <c r="AX74" t="e">
        <f>AND(#REF!,"AAAAAH/9/zE=")</f>
        <v>#REF!</v>
      </c>
      <c r="AY74" t="e">
        <f>AND(#REF!,"AAAAAH/9/zI=")</f>
        <v>#REF!</v>
      </c>
      <c r="AZ74" t="e">
        <f>AND(#REF!,"AAAAAH/9/zM=")</f>
        <v>#REF!</v>
      </c>
      <c r="BA74" t="e">
        <f>AND(#REF!,"AAAAAH/9/zQ=")</f>
        <v>#REF!</v>
      </c>
      <c r="BB74" t="e">
        <f>AND(#REF!,"AAAAAH/9/zU=")</f>
        <v>#REF!</v>
      </c>
      <c r="BC74" t="e">
        <f>AND(#REF!,"AAAAAH/9/zY=")</f>
        <v>#REF!</v>
      </c>
      <c r="BD74" t="e">
        <f>AND(#REF!,"AAAAAH/9/zc=")</f>
        <v>#REF!</v>
      </c>
      <c r="BE74" t="e">
        <f>AND(#REF!,"AAAAAH/9/zg=")</f>
        <v>#REF!</v>
      </c>
      <c r="BF74" t="e">
        <f>AND(#REF!,"AAAAAH/9/zk=")</f>
        <v>#REF!</v>
      </c>
      <c r="BG74" t="e">
        <f>AND(#REF!,"AAAAAH/9/zo=")</f>
        <v>#REF!</v>
      </c>
      <c r="BH74" t="e">
        <f>AND(#REF!,"AAAAAH/9/zs=")</f>
        <v>#REF!</v>
      </c>
      <c r="BI74" t="e">
        <f>AND(#REF!,"AAAAAH/9/zw=")</f>
        <v>#REF!</v>
      </c>
      <c r="BJ74" t="e">
        <f>AND(#REF!,"AAAAAH/9/z0=")</f>
        <v>#REF!</v>
      </c>
      <c r="BK74" t="e">
        <f>IF(#REF!,"AAAAAH/9/z4=",0)</f>
        <v>#REF!</v>
      </c>
      <c r="BL74" t="e">
        <f>AND(#REF!,"AAAAAH/9/z8=")</f>
        <v>#REF!</v>
      </c>
      <c r="BM74" t="e">
        <f>AND(#REF!,"AAAAAH/9/0A=")</f>
        <v>#REF!</v>
      </c>
      <c r="BN74" t="e">
        <f>AND(#REF!,"AAAAAH/9/0E=")</f>
        <v>#REF!</v>
      </c>
      <c r="BO74" t="e">
        <f>AND(#REF!,"AAAAAH/9/0I=")</f>
        <v>#REF!</v>
      </c>
      <c r="BP74" t="e">
        <f>AND(#REF!,"AAAAAH/9/0M=")</f>
        <v>#REF!</v>
      </c>
      <c r="BQ74" t="e">
        <f>AND(#REF!,"AAAAAH/9/0Q=")</f>
        <v>#REF!</v>
      </c>
      <c r="BR74" t="e">
        <f>AND(#REF!,"AAAAAH/9/0U=")</f>
        <v>#REF!</v>
      </c>
      <c r="BS74" t="e">
        <f>AND(#REF!,"AAAAAH/9/0Y=")</f>
        <v>#REF!</v>
      </c>
      <c r="BT74" t="e">
        <f>AND(#REF!,"AAAAAH/9/0c=")</f>
        <v>#REF!</v>
      </c>
      <c r="BU74" t="e">
        <f>AND(#REF!,"AAAAAH/9/0g=")</f>
        <v>#REF!</v>
      </c>
      <c r="BV74" t="e">
        <f>AND(#REF!,"AAAAAH/9/0k=")</f>
        <v>#REF!</v>
      </c>
      <c r="BW74" t="e">
        <f>AND(#REF!,"AAAAAH/9/0o=")</f>
        <v>#REF!</v>
      </c>
      <c r="BX74" t="e">
        <f>AND(#REF!,"AAAAAH/9/0s=")</f>
        <v>#REF!</v>
      </c>
      <c r="BY74" t="e">
        <f>AND(#REF!,"AAAAAH/9/0w=")</f>
        <v>#REF!</v>
      </c>
      <c r="BZ74" t="e">
        <f>AND(#REF!,"AAAAAH/9/00=")</f>
        <v>#REF!</v>
      </c>
      <c r="CA74" t="e">
        <f>AND(#REF!,"AAAAAH/9/04=")</f>
        <v>#REF!</v>
      </c>
      <c r="CB74" t="e">
        <f>AND(#REF!,"AAAAAH/9/08=")</f>
        <v>#REF!</v>
      </c>
      <c r="CC74" t="e">
        <f>AND(#REF!,"AAAAAH/9/1A=")</f>
        <v>#REF!</v>
      </c>
      <c r="CD74" t="e">
        <f>AND(#REF!,"AAAAAH/9/1E=")</f>
        <v>#REF!</v>
      </c>
      <c r="CE74" t="e">
        <f>AND(#REF!,"AAAAAH/9/1I=")</f>
        <v>#REF!</v>
      </c>
      <c r="CF74" t="e">
        <f>AND(#REF!,"AAAAAH/9/1M=")</f>
        <v>#REF!</v>
      </c>
      <c r="CG74" t="e">
        <f>AND(#REF!,"AAAAAH/9/1Q=")</f>
        <v>#REF!</v>
      </c>
      <c r="CH74" t="e">
        <f>AND(#REF!,"AAAAAH/9/1U=")</f>
        <v>#REF!</v>
      </c>
      <c r="CI74" t="e">
        <f>AND(#REF!,"AAAAAH/9/1Y=")</f>
        <v>#REF!</v>
      </c>
      <c r="CJ74" t="e">
        <f>AND(#REF!,"AAAAAH/9/1c=")</f>
        <v>#REF!</v>
      </c>
      <c r="CK74" t="e">
        <f>AND(#REF!,"AAAAAH/9/1g=")</f>
        <v>#REF!</v>
      </c>
      <c r="CL74" t="e">
        <f>AND(#REF!,"AAAAAH/9/1k=")</f>
        <v>#REF!</v>
      </c>
      <c r="CM74" t="e">
        <f>AND(#REF!,"AAAAAH/9/1o=")</f>
        <v>#REF!</v>
      </c>
      <c r="CN74" t="e">
        <f>AND(#REF!,"AAAAAH/9/1s=")</f>
        <v>#REF!</v>
      </c>
      <c r="CO74" t="e">
        <f>AND(#REF!,"AAAAAH/9/1w=")</f>
        <v>#REF!</v>
      </c>
      <c r="CP74" t="e">
        <f>AND(#REF!,"AAAAAH/9/10=")</f>
        <v>#REF!</v>
      </c>
      <c r="CQ74" t="e">
        <f>AND(#REF!,"AAAAAH/9/14=")</f>
        <v>#REF!</v>
      </c>
      <c r="CR74" t="e">
        <f>AND(#REF!,"AAAAAH/9/18=")</f>
        <v>#REF!</v>
      </c>
      <c r="CS74" t="e">
        <f>AND(#REF!,"AAAAAH/9/2A=")</f>
        <v>#REF!</v>
      </c>
      <c r="CT74" t="e">
        <f>AND(#REF!,"AAAAAH/9/2E=")</f>
        <v>#REF!</v>
      </c>
      <c r="CU74" t="e">
        <f>AND(#REF!,"AAAAAH/9/2I=")</f>
        <v>#REF!</v>
      </c>
      <c r="CV74" t="e">
        <f>AND(#REF!,"AAAAAH/9/2M=")</f>
        <v>#REF!</v>
      </c>
      <c r="CW74" t="e">
        <f>AND(#REF!,"AAAAAH/9/2Q=")</f>
        <v>#REF!</v>
      </c>
      <c r="CX74" t="e">
        <f>AND(#REF!,"AAAAAH/9/2U=")</f>
        <v>#REF!</v>
      </c>
      <c r="CY74" t="e">
        <f>AND(#REF!,"AAAAAH/9/2Y=")</f>
        <v>#REF!</v>
      </c>
      <c r="CZ74" t="e">
        <f>AND(#REF!,"AAAAAH/9/2c=")</f>
        <v>#REF!</v>
      </c>
      <c r="DA74" t="e">
        <f>AND(#REF!,"AAAAAH/9/2g=")</f>
        <v>#REF!</v>
      </c>
      <c r="DB74" t="e">
        <f>AND(#REF!,"AAAAAH/9/2k=")</f>
        <v>#REF!</v>
      </c>
      <c r="DC74" t="e">
        <f>AND(#REF!,"AAAAAH/9/2o=")</f>
        <v>#REF!</v>
      </c>
      <c r="DD74" t="e">
        <f>AND(#REF!,"AAAAAH/9/2s=")</f>
        <v>#REF!</v>
      </c>
      <c r="DE74" t="e">
        <f>AND(#REF!,"AAAAAH/9/2w=")</f>
        <v>#REF!</v>
      </c>
      <c r="DF74" t="e">
        <f>AND(#REF!,"AAAAAH/9/20=")</f>
        <v>#REF!</v>
      </c>
      <c r="DG74" t="e">
        <f>AND(#REF!,"AAAAAH/9/24=")</f>
        <v>#REF!</v>
      </c>
      <c r="DH74" t="e">
        <f>AND(#REF!,"AAAAAH/9/28=")</f>
        <v>#REF!</v>
      </c>
      <c r="DI74" t="e">
        <f>AND(#REF!,"AAAAAH/9/3A=")</f>
        <v>#REF!</v>
      </c>
      <c r="DJ74" t="e">
        <f>AND(#REF!,"AAAAAH/9/3E=")</f>
        <v>#REF!</v>
      </c>
      <c r="DK74" t="e">
        <f>AND(#REF!,"AAAAAH/9/3I=")</f>
        <v>#REF!</v>
      </c>
      <c r="DL74" t="e">
        <f>AND(#REF!,"AAAAAH/9/3M=")</f>
        <v>#REF!</v>
      </c>
      <c r="DM74" t="e">
        <f>AND(#REF!,"AAAAAH/9/3Q=")</f>
        <v>#REF!</v>
      </c>
      <c r="DN74" t="e">
        <f>AND(#REF!,"AAAAAH/9/3U=")</f>
        <v>#REF!</v>
      </c>
      <c r="DO74" t="e">
        <f>AND(#REF!,"AAAAAH/9/3Y=")</f>
        <v>#REF!</v>
      </c>
      <c r="DP74" t="e">
        <f>AND(#REF!,"AAAAAH/9/3c=")</f>
        <v>#REF!</v>
      </c>
      <c r="DQ74" t="e">
        <f>AND(#REF!,"AAAAAH/9/3g=")</f>
        <v>#REF!</v>
      </c>
      <c r="DR74" t="e">
        <f>AND(#REF!,"AAAAAH/9/3k=")</f>
        <v>#REF!</v>
      </c>
      <c r="DS74" t="e">
        <f>AND(#REF!,"AAAAAH/9/3o=")</f>
        <v>#REF!</v>
      </c>
      <c r="DT74" t="e">
        <f>AND(#REF!,"AAAAAH/9/3s=")</f>
        <v>#REF!</v>
      </c>
      <c r="DU74" t="e">
        <f>AND(#REF!,"AAAAAH/9/3w=")</f>
        <v>#REF!</v>
      </c>
      <c r="DV74" t="e">
        <f>AND(#REF!,"AAAAAH/9/30=")</f>
        <v>#REF!</v>
      </c>
      <c r="DW74" t="e">
        <f>AND(#REF!,"AAAAAH/9/34=")</f>
        <v>#REF!</v>
      </c>
      <c r="DX74" t="e">
        <f>AND(#REF!,"AAAAAH/9/38=")</f>
        <v>#REF!</v>
      </c>
      <c r="DY74" t="e">
        <f>AND(#REF!,"AAAAAH/9/4A=")</f>
        <v>#REF!</v>
      </c>
      <c r="DZ74" t="e">
        <f>AND(#REF!,"AAAAAH/9/4E=")</f>
        <v>#REF!</v>
      </c>
      <c r="EA74" t="e">
        <f>AND(#REF!,"AAAAAH/9/4I=")</f>
        <v>#REF!</v>
      </c>
      <c r="EB74" t="e">
        <f>AND(#REF!,"AAAAAH/9/4M=")</f>
        <v>#REF!</v>
      </c>
      <c r="EC74" t="e">
        <f>AND(#REF!,"AAAAAH/9/4Q=")</f>
        <v>#REF!</v>
      </c>
      <c r="ED74" t="e">
        <f>AND(#REF!,"AAAAAH/9/4U=")</f>
        <v>#REF!</v>
      </c>
      <c r="EE74" t="e">
        <f>AND(#REF!,"AAAAAH/9/4Y=")</f>
        <v>#REF!</v>
      </c>
      <c r="EF74" t="e">
        <f>AND(#REF!,"AAAAAH/9/4c=")</f>
        <v>#REF!</v>
      </c>
      <c r="EG74" t="e">
        <f>AND(#REF!,"AAAAAH/9/4g=")</f>
        <v>#REF!</v>
      </c>
      <c r="EH74" t="e">
        <f>IF(#REF!,"AAAAAH/9/4k=",0)</f>
        <v>#REF!</v>
      </c>
      <c r="EI74" t="e">
        <f>AND(#REF!,"AAAAAH/9/4o=")</f>
        <v>#REF!</v>
      </c>
      <c r="EJ74" t="e">
        <f>AND(#REF!,"AAAAAH/9/4s=")</f>
        <v>#REF!</v>
      </c>
      <c r="EK74" t="e">
        <f>AND(#REF!,"AAAAAH/9/4w=")</f>
        <v>#REF!</v>
      </c>
      <c r="EL74" t="e">
        <f>AND(#REF!,"AAAAAH/9/40=")</f>
        <v>#REF!</v>
      </c>
      <c r="EM74" t="e">
        <f>AND(#REF!,"AAAAAH/9/44=")</f>
        <v>#REF!</v>
      </c>
      <c r="EN74" t="e">
        <f>AND(#REF!,"AAAAAH/9/48=")</f>
        <v>#REF!</v>
      </c>
      <c r="EO74" t="e">
        <f>AND(#REF!,"AAAAAH/9/5A=")</f>
        <v>#REF!</v>
      </c>
      <c r="EP74" t="e">
        <f>AND(#REF!,"AAAAAH/9/5E=")</f>
        <v>#REF!</v>
      </c>
      <c r="EQ74" t="e">
        <f>AND(#REF!,"AAAAAH/9/5I=")</f>
        <v>#REF!</v>
      </c>
      <c r="ER74" t="e">
        <f>AND(#REF!,"AAAAAH/9/5M=")</f>
        <v>#REF!</v>
      </c>
      <c r="ES74" t="e">
        <f>AND(#REF!,"AAAAAH/9/5Q=")</f>
        <v>#REF!</v>
      </c>
      <c r="ET74" t="e">
        <f>AND(#REF!,"AAAAAH/9/5U=")</f>
        <v>#REF!</v>
      </c>
      <c r="EU74" t="e">
        <f>AND(#REF!,"AAAAAH/9/5Y=")</f>
        <v>#REF!</v>
      </c>
      <c r="EV74" t="e">
        <f>AND(#REF!,"AAAAAH/9/5c=")</f>
        <v>#REF!</v>
      </c>
      <c r="EW74" t="e">
        <f>AND(#REF!,"AAAAAH/9/5g=")</f>
        <v>#REF!</v>
      </c>
      <c r="EX74" t="e">
        <f>AND(#REF!,"AAAAAH/9/5k=")</f>
        <v>#REF!</v>
      </c>
      <c r="EY74" t="e">
        <f>AND(#REF!,"AAAAAH/9/5o=")</f>
        <v>#REF!</v>
      </c>
      <c r="EZ74" t="e">
        <f>AND(#REF!,"AAAAAH/9/5s=")</f>
        <v>#REF!</v>
      </c>
      <c r="FA74" t="e">
        <f>AND(#REF!,"AAAAAH/9/5w=")</f>
        <v>#REF!</v>
      </c>
      <c r="FB74" t="e">
        <f>AND(#REF!,"AAAAAH/9/50=")</f>
        <v>#REF!</v>
      </c>
      <c r="FC74" t="e">
        <f>AND(#REF!,"AAAAAH/9/54=")</f>
        <v>#REF!</v>
      </c>
      <c r="FD74" t="e">
        <f>AND(#REF!,"AAAAAH/9/58=")</f>
        <v>#REF!</v>
      </c>
      <c r="FE74" t="e">
        <f>AND(#REF!,"AAAAAH/9/6A=")</f>
        <v>#REF!</v>
      </c>
      <c r="FF74" t="e">
        <f>AND(#REF!,"AAAAAH/9/6E=")</f>
        <v>#REF!</v>
      </c>
      <c r="FG74" t="e">
        <f>AND(#REF!,"AAAAAH/9/6I=")</f>
        <v>#REF!</v>
      </c>
      <c r="FH74" t="e">
        <f>AND(#REF!,"AAAAAH/9/6M=")</f>
        <v>#REF!</v>
      </c>
      <c r="FI74" t="e">
        <f>AND(#REF!,"AAAAAH/9/6Q=")</f>
        <v>#REF!</v>
      </c>
      <c r="FJ74" t="e">
        <f>AND(#REF!,"AAAAAH/9/6U=")</f>
        <v>#REF!</v>
      </c>
      <c r="FK74" t="e">
        <f>AND(#REF!,"AAAAAH/9/6Y=")</f>
        <v>#REF!</v>
      </c>
      <c r="FL74" t="e">
        <f>AND(#REF!,"AAAAAH/9/6c=")</f>
        <v>#REF!</v>
      </c>
      <c r="FM74" t="e">
        <f>AND(#REF!,"AAAAAH/9/6g=")</f>
        <v>#REF!</v>
      </c>
      <c r="FN74" t="e">
        <f>AND(#REF!,"AAAAAH/9/6k=")</f>
        <v>#REF!</v>
      </c>
      <c r="FO74" t="e">
        <f>AND(#REF!,"AAAAAH/9/6o=")</f>
        <v>#REF!</v>
      </c>
      <c r="FP74" t="e">
        <f>AND(#REF!,"AAAAAH/9/6s=")</f>
        <v>#REF!</v>
      </c>
      <c r="FQ74" t="e">
        <f>AND(#REF!,"AAAAAH/9/6w=")</f>
        <v>#REF!</v>
      </c>
      <c r="FR74" t="e">
        <f>AND(#REF!,"AAAAAH/9/60=")</f>
        <v>#REF!</v>
      </c>
      <c r="FS74" t="e">
        <f>AND(#REF!,"AAAAAH/9/64=")</f>
        <v>#REF!</v>
      </c>
      <c r="FT74" t="e">
        <f>AND(#REF!,"AAAAAH/9/68=")</f>
        <v>#REF!</v>
      </c>
      <c r="FU74" t="e">
        <f>AND(#REF!,"AAAAAH/9/7A=")</f>
        <v>#REF!</v>
      </c>
      <c r="FV74" t="e">
        <f>AND(#REF!,"AAAAAH/9/7E=")</f>
        <v>#REF!</v>
      </c>
      <c r="FW74" t="e">
        <f>AND(#REF!,"AAAAAH/9/7I=")</f>
        <v>#REF!</v>
      </c>
      <c r="FX74" t="e">
        <f>AND(#REF!,"AAAAAH/9/7M=")</f>
        <v>#REF!</v>
      </c>
      <c r="FY74" t="e">
        <f>AND(#REF!,"AAAAAH/9/7Q=")</f>
        <v>#REF!</v>
      </c>
      <c r="FZ74" t="e">
        <f>AND(#REF!,"AAAAAH/9/7U=")</f>
        <v>#REF!</v>
      </c>
      <c r="GA74" t="e">
        <f>AND(#REF!,"AAAAAH/9/7Y=")</f>
        <v>#REF!</v>
      </c>
      <c r="GB74" t="e">
        <f>AND(#REF!,"AAAAAH/9/7c=")</f>
        <v>#REF!</v>
      </c>
      <c r="GC74" t="e">
        <f>AND(#REF!,"AAAAAH/9/7g=")</f>
        <v>#REF!</v>
      </c>
      <c r="GD74" t="e">
        <f>AND(#REF!,"AAAAAH/9/7k=")</f>
        <v>#REF!</v>
      </c>
      <c r="GE74" t="e">
        <f>AND(#REF!,"AAAAAH/9/7o=")</f>
        <v>#REF!</v>
      </c>
      <c r="GF74" t="e">
        <f>AND(#REF!,"AAAAAH/9/7s=")</f>
        <v>#REF!</v>
      </c>
      <c r="GG74" t="e">
        <f>AND(#REF!,"AAAAAH/9/7w=")</f>
        <v>#REF!</v>
      </c>
      <c r="GH74" t="e">
        <f>AND(#REF!,"AAAAAH/9/70=")</f>
        <v>#REF!</v>
      </c>
      <c r="GI74" t="e">
        <f>AND(#REF!,"AAAAAH/9/74=")</f>
        <v>#REF!</v>
      </c>
      <c r="GJ74" t="e">
        <f>AND(#REF!,"AAAAAH/9/78=")</f>
        <v>#REF!</v>
      </c>
      <c r="GK74" t="e">
        <f>AND(#REF!,"AAAAAH/9/8A=")</f>
        <v>#REF!</v>
      </c>
      <c r="GL74" t="e">
        <f>AND(#REF!,"AAAAAH/9/8E=")</f>
        <v>#REF!</v>
      </c>
      <c r="GM74" t="e">
        <f>AND(#REF!,"AAAAAH/9/8I=")</f>
        <v>#REF!</v>
      </c>
      <c r="GN74" t="e">
        <f>AND(#REF!,"AAAAAH/9/8M=")</f>
        <v>#REF!</v>
      </c>
      <c r="GO74" t="e">
        <f>AND(#REF!,"AAAAAH/9/8Q=")</f>
        <v>#REF!</v>
      </c>
      <c r="GP74" t="e">
        <f>AND(#REF!,"AAAAAH/9/8U=")</f>
        <v>#REF!</v>
      </c>
      <c r="GQ74" t="e">
        <f>AND(#REF!,"AAAAAH/9/8Y=")</f>
        <v>#REF!</v>
      </c>
      <c r="GR74" t="e">
        <f>AND(#REF!,"AAAAAH/9/8c=")</f>
        <v>#REF!</v>
      </c>
      <c r="GS74" t="e">
        <f>AND(#REF!,"AAAAAH/9/8g=")</f>
        <v>#REF!</v>
      </c>
      <c r="GT74" t="e">
        <f>AND(#REF!,"AAAAAH/9/8k=")</f>
        <v>#REF!</v>
      </c>
      <c r="GU74" t="e">
        <f>AND(#REF!,"AAAAAH/9/8o=")</f>
        <v>#REF!</v>
      </c>
      <c r="GV74" t="e">
        <f>AND(#REF!,"AAAAAH/9/8s=")</f>
        <v>#REF!</v>
      </c>
      <c r="GW74" t="e">
        <f>AND(#REF!,"AAAAAH/9/8w=")</f>
        <v>#REF!</v>
      </c>
      <c r="GX74" t="e">
        <f>AND(#REF!,"AAAAAH/9/80=")</f>
        <v>#REF!</v>
      </c>
      <c r="GY74" t="e">
        <f>AND(#REF!,"AAAAAH/9/84=")</f>
        <v>#REF!</v>
      </c>
      <c r="GZ74" t="e">
        <f>AND(#REF!,"AAAAAH/9/88=")</f>
        <v>#REF!</v>
      </c>
      <c r="HA74" t="e">
        <f>AND(#REF!,"AAAAAH/9/9A=")</f>
        <v>#REF!</v>
      </c>
      <c r="HB74" t="e">
        <f>AND(#REF!,"AAAAAH/9/9E=")</f>
        <v>#REF!</v>
      </c>
      <c r="HC74" t="e">
        <f>AND(#REF!,"AAAAAH/9/9I=")</f>
        <v>#REF!</v>
      </c>
      <c r="HD74" t="e">
        <f>AND(#REF!,"AAAAAH/9/9M=")</f>
        <v>#REF!</v>
      </c>
      <c r="HE74" t="e">
        <f>IF(#REF!,"AAAAAH/9/9Q=",0)</f>
        <v>#REF!</v>
      </c>
      <c r="HF74" t="e">
        <f>AND(#REF!,"AAAAAH/9/9U=")</f>
        <v>#REF!</v>
      </c>
      <c r="HG74" t="e">
        <f>AND(#REF!,"AAAAAH/9/9Y=")</f>
        <v>#REF!</v>
      </c>
      <c r="HH74" t="e">
        <f>AND(#REF!,"AAAAAH/9/9c=")</f>
        <v>#REF!</v>
      </c>
      <c r="HI74" t="e">
        <f>AND(#REF!,"AAAAAH/9/9g=")</f>
        <v>#REF!</v>
      </c>
      <c r="HJ74" t="e">
        <f>AND(#REF!,"AAAAAH/9/9k=")</f>
        <v>#REF!</v>
      </c>
      <c r="HK74" t="e">
        <f>AND(#REF!,"AAAAAH/9/9o=")</f>
        <v>#REF!</v>
      </c>
      <c r="HL74" t="e">
        <f>AND(#REF!,"AAAAAH/9/9s=")</f>
        <v>#REF!</v>
      </c>
      <c r="HM74" t="e">
        <f>AND(#REF!,"AAAAAH/9/9w=")</f>
        <v>#REF!</v>
      </c>
      <c r="HN74" t="e">
        <f>AND(#REF!,"AAAAAH/9/90=")</f>
        <v>#REF!</v>
      </c>
      <c r="HO74" t="e">
        <f>AND(#REF!,"AAAAAH/9/94=")</f>
        <v>#REF!</v>
      </c>
      <c r="HP74" t="e">
        <f>AND(#REF!,"AAAAAH/9/98=")</f>
        <v>#REF!</v>
      </c>
      <c r="HQ74" t="e">
        <f>AND(#REF!,"AAAAAH/9/+A=")</f>
        <v>#REF!</v>
      </c>
      <c r="HR74" t="e">
        <f>AND(#REF!,"AAAAAH/9/+E=")</f>
        <v>#REF!</v>
      </c>
      <c r="HS74" t="e">
        <f>AND(#REF!,"AAAAAH/9/+I=")</f>
        <v>#REF!</v>
      </c>
      <c r="HT74" t="e">
        <f>AND(#REF!,"AAAAAH/9/+M=")</f>
        <v>#REF!</v>
      </c>
      <c r="HU74" t="e">
        <f>AND(#REF!,"AAAAAH/9/+Q=")</f>
        <v>#REF!</v>
      </c>
      <c r="HV74" t="e">
        <f>AND(#REF!,"AAAAAH/9/+U=")</f>
        <v>#REF!</v>
      </c>
      <c r="HW74" t="e">
        <f>AND(#REF!,"AAAAAH/9/+Y=")</f>
        <v>#REF!</v>
      </c>
      <c r="HX74" t="e">
        <f>AND(#REF!,"AAAAAH/9/+c=")</f>
        <v>#REF!</v>
      </c>
      <c r="HY74" t="e">
        <f>AND(#REF!,"AAAAAH/9/+g=")</f>
        <v>#REF!</v>
      </c>
      <c r="HZ74" t="e">
        <f>AND(#REF!,"AAAAAH/9/+k=")</f>
        <v>#REF!</v>
      </c>
      <c r="IA74" t="e">
        <f>AND(#REF!,"AAAAAH/9/+o=")</f>
        <v>#REF!</v>
      </c>
      <c r="IB74" t="e">
        <f>AND(#REF!,"AAAAAH/9/+s=")</f>
        <v>#REF!</v>
      </c>
      <c r="IC74" t="e">
        <f>AND(#REF!,"AAAAAH/9/+w=")</f>
        <v>#REF!</v>
      </c>
      <c r="ID74" t="e">
        <f>AND(#REF!,"AAAAAH/9/+0=")</f>
        <v>#REF!</v>
      </c>
      <c r="IE74" t="e">
        <f>AND(#REF!,"AAAAAH/9/+4=")</f>
        <v>#REF!</v>
      </c>
      <c r="IF74" t="e">
        <f>AND(#REF!,"AAAAAH/9/+8=")</f>
        <v>#REF!</v>
      </c>
      <c r="IG74" t="e">
        <f>AND(#REF!,"AAAAAH/9//A=")</f>
        <v>#REF!</v>
      </c>
      <c r="IH74" t="e">
        <f>AND(#REF!,"AAAAAH/9//E=")</f>
        <v>#REF!</v>
      </c>
      <c r="II74" t="e">
        <f>AND(#REF!,"AAAAAH/9//I=")</f>
        <v>#REF!</v>
      </c>
      <c r="IJ74" t="e">
        <f>AND(#REF!,"AAAAAH/9//M=")</f>
        <v>#REF!</v>
      </c>
      <c r="IK74" t="e">
        <f>AND(#REF!,"AAAAAH/9//Q=")</f>
        <v>#REF!</v>
      </c>
      <c r="IL74" t="e">
        <f>AND(#REF!,"AAAAAH/9//U=")</f>
        <v>#REF!</v>
      </c>
      <c r="IM74" t="e">
        <f>AND(#REF!,"AAAAAH/9//Y=")</f>
        <v>#REF!</v>
      </c>
      <c r="IN74" t="e">
        <f>AND(#REF!,"AAAAAH/9//c=")</f>
        <v>#REF!</v>
      </c>
      <c r="IO74" t="e">
        <f>AND(#REF!,"AAAAAH/9//g=")</f>
        <v>#REF!</v>
      </c>
      <c r="IP74" t="e">
        <f>AND(#REF!,"AAAAAH/9//k=")</f>
        <v>#REF!</v>
      </c>
      <c r="IQ74" t="e">
        <f>AND(#REF!,"AAAAAH/9//o=")</f>
        <v>#REF!</v>
      </c>
      <c r="IR74" t="e">
        <f>AND(#REF!,"AAAAAH/9//s=")</f>
        <v>#REF!</v>
      </c>
      <c r="IS74" t="e">
        <f>AND(#REF!,"AAAAAH/9//w=")</f>
        <v>#REF!</v>
      </c>
      <c r="IT74" t="e">
        <f>AND(#REF!,"AAAAAH/9//0=")</f>
        <v>#REF!</v>
      </c>
      <c r="IU74" t="e">
        <f>AND(#REF!,"AAAAAH/9//4=")</f>
        <v>#REF!</v>
      </c>
      <c r="IV74" t="e">
        <f>AND(#REF!,"AAAAAH/9//8=")</f>
        <v>#REF!</v>
      </c>
    </row>
    <row r="75" spans="1:256" x14ac:dyDescent="0.2">
      <c r="A75" t="e">
        <f>AND(#REF!,"AAAAAH99fgA=")</f>
        <v>#REF!</v>
      </c>
      <c r="B75" t="e">
        <f>AND(#REF!,"AAAAAH99fgE=")</f>
        <v>#REF!</v>
      </c>
      <c r="C75" t="e">
        <f>AND(#REF!,"AAAAAH99fgI=")</f>
        <v>#REF!</v>
      </c>
      <c r="D75" t="e">
        <f>AND(#REF!,"AAAAAH99fgM=")</f>
        <v>#REF!</v>
      </c>
      <c r="E75" t="e">
        <f>AND(#REF!,"AAAAAH99fgQ=")</f>
        <v>#REF!</v>
      </c>
      <c r="F75" t="e">
        <f>AND(#REF!,"AAAAAH99fgU=")</f>
        <v>#REF!</v>
      </c>
      <c r="G75" t="e">
        <f>AND(#REF!,"AAAAAH99fgY=")</f>
        <v>#REF!</v>
      </c>
      <c r="H75" t="e">
        <f>AND(#REF!,"AAAAAH99fgc=")</f>
        <v>#REF!</v>
      </c>
      <c r="I75" t="e">
        <f>AND(#REF!,"AAAAAH99fgg=")</f>
        <v>#REF!</v>
      </c>
      <c r="J75" t="e">
        <f>AND(#REF!,"AAAAAH99fgk=")</f>
        <v>#REF!</v>
      </c>
      <c r="K75" t="e">
        <f>AND(#REF!,"AAAAAH99fgo=")</f>
        <v>#REF!</v>
      </c>
      <c r="L75" t="e">
        <f>AND(#REF!,"AAAAAH99fgs=")</f>
        <v>#REF!</v>
      </c>
      <c r="M75" t="e">
        <f>AND(#REF!,"AAAAAH99fgw=")</f>
        <v>#REF!</v>
      </c>
      <c r="N75" t="e">
        <f>AND(#REF!,"AAAAAH99fg0=")</f>
        <v>#REF!</v>
      </c>
      <c r="O75" t="e">
        <f>AND(#REF!,"AAAAAH99fg4=")</f>
        <v>#REF!</v>
      </c>
      <c r="P75" t="e">
        <f>AND(#REF!,"AAAAAH99fg8=")</f>
        <v>#REF!</v>
      </c>
      <c r="Q75" t="e">
        <f>AND(#REF!,"AAAAAH99fhA=")</f>
        <v>#REF!</v>
      </c>
      <c r="R75" t="e">
        <f>AND(#REF!,"AAAAAH99fhE=")</f>
        <v>#REF!</v>
      </c>
      <c r="S75" t="e">
        <f>AND(#REF!,"AAAAAH99fhI=")</f>
        <v>#REF!</v>
      </c>
      <c r="T75" t="e">
        <f>AND(#REF!,"AAAAAH99fhM=")</f>
        <v>#REF!</v>
      </c>
      <c r="U75" t="e">
        <f>AND(#REF!,"AAAAAH99fhQ=")</f>
        <v>#REF!</v>
      </c>
      <c r="V75" t="e">
        <f>AND(#REF!,"AAAAAH99fhU=")</f>
        <v>#REF!</v>
      </c>
      <c r="W75" t="e">
        <f>AND(#REF!,"AAAAAH99fhY=")</f>
        <v>#REF!</v>
      </c>
      <c r="X75" t="e">
        <f>AND(#REF!,"AAAAAH99fhc=")</f>
        <v>#REF!</v>
      </c>
      <c r="Y75" t="e">
        <f>AND(#REF!,"AAAAAH99fhg=")</f>
        <v>#REF!</v>
      </c>
      <c r="Z75" t="e">
        <f>AND(#REF!,"AAAAAH99fhk=")</f>
        <v>#REF!</v>
      </c>
      <c r="AA75" t="e">
        <f>AND(#REF!,"AAAAAH99fho=")</f>
        <v>#REF!</v>
      </c>
      <c r="AB75" t="e">
        <f>AND(#REF!,"AAAAAH99fhs=")</f>
        <v>#REF!</v>
      </c>
      <c r="AC75" t="e">
        <f>AND(#REF!,"AAAAAH99fhw=")</f>
        <v>#REF!</v>
      </c>
      <c r="AD75" t="e">
        <f>AND(#REF!,"AAAAAH99fh0=")</f>
        <v>#REF!</v>
      </c>
      <c r="AE75" t="e">
        <f>AND(#REF!,"AAAAAH99fh4=")</f>
        <v>#REF!</v>
      </c>
      <c r="AF75" t="e">
        <f>IF(#REF!,"AAAAAH99fh8=",0)</f>
        <v>#REF!</v>
      </c>
      <c r="AG75" t="e">
        <f>AND(#REF!,"AAAAAH99fiA=")</f>
        <v>#REF!</v>
      </c>
      <c r="AH75" t="e">
        <f>AND(#REF!,"AAAAAH99fiE=")</f>
        <v>#REF!</v>
      </c>
      <c r="AI75" t="e">
        <f>AND(#REF!,"AAAAAH99fiI=")</f>
        <v>#REF!</v>
      </c>
      <c r="AJ75" t="e">
        <f>AND(#REF!,"AAAAAH99fiM=")</f>
        <v>#REF!</v>
      </c>
      <c r="AK75" t="e">
        <f>AND(#REF!,"AAAAAH99fiQ=")</f>
        <v>#REF!</v>
      </c>
      <c r="AL75" t="e">
        <f>AND(#REF!,"AAAAAH99fiU=")</f>
        <v>#REF!</v>
      </c>
      <c r="AM75" t="e">
        <f>AND(#REF!,"AAAAAH99fiY=")</f>
        <v>#REF!</v>
      </c>
      <c r="AN75" t="e">
        <f>AND(#REF!,"AAAAAH99fic=")</f>
        <v>#REF!</v>
      </c>
      <c r="AO75" t="e">
        <f>AND(#REF!,"AAAAAH99fig=")</f>
        <v>#REF!</v>
      </c>
      <c r="AP75" t="e">
        <f>AND(#REF!,"AAAAAH99fik=")</f>
        <v>#REF!</v>
      </c>
      <c r="AQ75" t="e">
        <f>AND(#REF!,"AAAAAH99fio=")</f>
        <v>#REF!</v>
      </c>
      <c r="AR75" t="e">
        <f>AND(#REF!,"AAAAAH99fis=")</f>
        <v>#REF!</v>
      </c>
      <c r="AS75" t="e">
        <f>AND(#REF!,"AAAAAH99fiw=")</f>
        <v>#REF!</v>
      </c>
      <c r="AT75" t="e">
        <f>AND(#REF!,"AAAAAH99fi0=")</f>
        <v>#REF!</v>
      </c>
      <c r="AU75" t="e">
        <f>AND(#REF!,"AAAAAH99fi4=")</f>
        <v>#REF!</v>
      </c>
      <c r="AV75" t="e">
        <f>AND(#REF!,"AAAAAH99fi8=")</f>
        <v>#REF!</v>
      </c>
      <c r="AW75" t="e">
        <f>AND(#REF!,"AAAAAH99fjA=")</f>
        <v>#REF!</v>
      </c>
      <c r="AX75" t="e">
        <f>AND(#REF!,"AAAAAH99fjE=")</f>
        <v>#REF!</v>
      </c>
      <c r="AY75" t="e">
        <f>AND(#REF!,"AAAAAH99fjI=")</f>
        <v>#REF!</v>
      </c>
      <c r="AZ75" t="e">
        <f>AND(#REF!,"AAAAAH99fjM=")</f>
        <v>#REF!</v>
      </c>
      <c r="BA75" t="e">
        <f>AND(#REF!,"AAAAAH99fjQ=")</f>
        <v>#REF!</v>
      </c>
      <c r="BB75" t="e">
        <f>AND(#REF!,"AAAAAH99fjU=")</f>
        <v>#REF!</v>
      </c>
      <c r="BC75" t="e">
        <f>AND(#REF!,"AAAAAH99fjY=")</f>
        <v>#REF!</v>
      </c>
      <c r="BD75" t="e">
        <f>AND(#REF!,"AAAAAH99fjc=")</f>
        <v>#REF!</v>
      </c>
      <c r="BE75" t="e">
        <f>AND(#REF!,"AAAAAH99fjg=")</f>
        <v>#REF!</v>
      </c>
      <c r="BF75" t="e">
        <f>AND(#REF!,"AAAAAH99fjk=")</f>
        <v>#REF!</v>
      </c>
      <c r="BG75" t="e">
        <f>AND(#REF!,"AAAAAH99fjo=")</f>
        <v>#REF!</v>
      </c>
      <c r="BH75" t="e">
        <f>AND(#REF!,"AAAAAH99fjs=")</f>
        <v>#REF!</v>
      </c>
      <c r="BI75" t="e">
        <f>AND(#REF!,"AAAAAH99fjw=")</f>
        <v>#REF!</v>
      </c>
      <c r="BJ75" t="e">
        <f>AND(#REF!,"AAAAAH99fj0=")</f>
        <v>#REF!</v>
      </c>
      <c r="BK75" t="e">
        <f>AND(#REF!,"AAAAAH99fj4=")</f>
        <v>#REF!</v>
      </c>
      <c r="BL75" t="e">
        <f>AND(#REF!,"AAAAAH99fj8=")</f>
        <v>#REF!</v>
      </c>
      <c r="BM75" t="e">
        <f>AND(#REF!,"AAAAAH99fkA=")</f>
        <v>#REF!</v>
      </c>
      <c r="BN75" t="e">
        <f>AND(#REF!,"AAAAAH99fkE=")</f>
        <v>#REF!</v>
      </c>
      <c r="BO75" t="e">
        <f>AND(#REF!,"AAAAAH99fkI=")</f>
        <v>#REF!</v>
      </c>
      <c r="BP75" t="e">
        <f>AND(#REF!,"AAAAAH99fkM=")</f>
        <v>#REF!</v>
      </c>
      <c r="BQ75" t="e">
        <f>AND(#REF!,"AAAAAH99fkQ=")</f>
        <v>#REF!</v>
      </c>
      <c r="BR75" t="e">
        <f>AND(#REF!,"AAAAAH99fkU=")</f>
        <v>#REF!</v>
      </c>
      <c r="BS75" t="e">
        <f>AND(#REF!,"AAAAAH99fkY=")</f>
        <v>#REF!</v>
      </c>
      <c r="BT75" t="e">
        <f>AND(#REF!,"AAAAAH99fkc=")</f>
        <v>#REF!</v>
      </c>
      <c r="BU75" t="e">
        <f>AND(#REF!,"AAAAAH99fkg=")</f>
        <v>#REF!</v>
      </c>
      <c r="BV75" t="e">
        <f>AND(#REF!,"AAAAAH99fkk=")</f>
        <v>#REF!</v>
      </c>
      <c r="BW75" t="e">
        <f>AND(#REF!,"AAAAAH99fko=")</f>
        <v>#REF!</v>
      </c>
      <c r="BX75" t="e">
        <f>AND(#REF!,"AAAAAH99fks=")</f>
        <v>#REF!</v>
      </c>
      <c r="BY75" t="e">
        <f>AND(#REF!,"AAAAAH99fkw=")</f>
        <v>#REF!</v>
      </c>
      <c r="BZ75" t="e">
        <f>AND(#REF!,"AAAAAH99fk0=")</f>
        <v>#REF!</v>
      </c>
      <c r="CA75" t="e">
        <f>AND(#REF!,"AAAAAH99fk4=")</f>
        <v>#REF!</v>
      </c>
      <c r="CB75" t="e">
        <f>AND(#REF!,"AAAAAH99fk8=")</f>
        <v>#REF!</v>
      </c>
      <c r="CC75" t="e">
        <f>AND(#REF!,"AAAAAH99flA=")</f>
        <v>#REF!</v>
      </c>
      <c r="CD75" t="e">
        <f>AND(#REF!,"AAAAAH99flE=")</f>
        <v>#REF!</v>
      </c>
      <c r="CE75" t="e">
        <f>AND(#REF!,"AAAAAH99flI=")</f>
        <v>#REF!</v>
      </c>
      <c r="CF75" t="e">
        <f>AND(#REF!,"AAAAAH99flM=")</f>
        <v>#REF!</v>
      </c>
      <c r="CG75" t="e">
        <f>AND(#REF!,"AAAAAH99flQ=")</f>
        <v>#REF!</v>
      </c>
      <c r="CH75" t="e">
        <f>AND(#REF!,"AAAAAH99flU=")</f>
        <v>#REF!</v>
      </c>
      <c r="CI75" t="e">
        <f>AND(#REF!,"AAAAAH99flY=")</f>
        <v>#REF!</v>
      </c>
      <c r="CJ75" t="e">
        <f>AND(#REF!,"AAAAAH99flc=")</f>
        <v>#REF!</v>
      </c>
      <c r="CK75" t="e">
        <f>AND(#REF!,"AAAAAH99flg=")</f>
        <v>#REF!</v>
      </c>
      <c r="CL75" t="e">
        <f>AND(#REF!,"AAAAAH99flk=")</f>
        <v>#REF!</v>
      </c>
      <c r="CM75" t="e">
        <f>AND(#REF!,"AAAAAH99flo=")</f>
        <v>#REF!</v>
      </c>
      <c r="CN75" t="e">
        <f>AND(#REF!,"AAAAAH99fls=")</f>
        <v>#REF!</v>
      </c>
      <c r="CO75" t="e">
        <f>AND(#REF!,"AAAAAH99flw=")</f>
        <v>#REF!</v>
      </c>
      <c r="CP75" t="e">
        <f>AND(#REF!,"AAAAAH99fl0=")</f>
        <v>#REF!</v>
      </c>
      <c r="CQ75" t="e">
        <f>AND(#REF!,"AAAAAH99fl4=")</f>
        <v>#REF!</v>
      </c>
      <c r="CR75" t="e">
        <f>AND(#REF!,"AAAAAH99fl8=")</f>
        <v>#REF!</v>
      </c>
      <c r="CS75" t="e">
        <f>AND(#REF!,"AAAAAH99fmA=")</f>
        <v>#REF!</v>
      </c>
      <c r="CT75" t="e">
        <f>AND(#REF!,"AAAAAH99fmE=")</f>
        <v>#REF!</v>
      </c>
      <c r="CU75" t="e">
        <f>AND(#REF!,"AAAAAH99fmI=")</f>
        <v>#REF!</v>
      </c>
      <c r="CV75" t="e">
        <f>AND(#REF!,"AAAAAH99fmM=")</f>
        <v>#REF!</v>
      </c>
      <c r="CW75" t="e">
        <f>AND(#REF!,"AAAAAH99fmQ=")</f>
        <v>#REF!</v>
      </c>
      <c r="CX75" t="e">
        <f>AND(#REF!,"AAAAAH99fmU=")</f>
        <v>#REF!</v>
      </c>
      <c r="CY75" t="e">
        <f>AND(#REF!,"AAAAAH99fmY=")</f>
        <v>#REF!</v>
      </c>
      <c r="CZ75" t="e">
        <f>AND(#REF!,"AAAAAH99fmc=")</f>
        <v>#REF!</v>
      </c>
      <c r="DA75" t="e">
        <f>AND(#REF!,"AAAAAH99fmg=")</f>
        <v>#REF!</v>
      </c>
      <c r="DB75" t="e">
        <f>AND(#REF!,"AAAAAH99fmk=")</f>
        <v>#REF!</v>
      </c>
      <c r="DC75" t="e">
        <f>IF(#REF!,"AAAAAH99fmo=",0)</f>
        <v>#REF!</v>
      </c>
      <c r="DD75" t="e">
        <f>AND(#REF!,"AAAAAH99fms=")</f>
        <v>#REF!</v>
      </c>
      <c r="DE75" t="e">
        <f>AND(#REF!,"AAAAAH99fmw=")</f>
        <v>#REF!</v>
      </c>
      <c r="DF75" t="e">
        <f>AND(#REF!,"AAAAAH99fm0=")</f>
        <v>#REF!</v>
      </c>
      <c r="DG75" t="e">
        <f>AND(#REF!,"AAAAAH99fm4=")</f>
        <v>#REF!</v>
      </c>
      <c r="DH75" t="e">
        <f>AND(#REF!,"AAAAAH99fm8=")</f>
        <v>#REF!</v>
      </c>
      <c r="DI75" t="e">
        <f>AND(#REF!,"AAAAAH99fnA=")</f>
        <v>#REF!</v>
      </c>
      <c r="DJ75" t="e">
        <f>AND(#REF!,"AAAAAH99fnE=")</f>
        <v>#REF!</v>
      </c>
      <c r="DK75" t="e">
        <f>AND(#REF!,"AAAAAH99fnI=")</f>
        <v>#REF!</v>
      </c>
      <c r="DL75" t="e">
        <f>AND(#REF!,"AAAAAH99fnM=")</f>
        <v>#REF!</v>
      </c>
      <c r="DM75" t="e">
        <f>AND(#REF!,"AAAAAH99fnQ=")</f>
        <v>#REF!</v>
      </c>
      <c r="DN75" t="e">
        <f>AND(#REF!,"AAAAAH99fnU=")</f>
        <v>#REF!</v>
      </c>
      <c r="DO75" t="e">
        <f>AND(#REF!,"AAAAAH99fnY=")</f>
        <v>#REF!</v>
      </c>
      <c r="DP75" t="e">
        <f>AND(#REF!,"AAAAAH99fnc=")</f>
        <v>#REF!</v>
      </c>
      <c r="DQ75" t="e">
        <f>AND(#REF!,"AAAAAH99fng=")</f>
        <v>#REF!</v>
      </c>
      <c r="DR75" t="e">
        <f>AND(#REF!,"AAAAAH99fnk=")</f>
        <v>#REF!</v>
      </c>
      <c r="DS75" t="e">
        <f>AND(#REF!,"AAAAAH99fno=")</f>
        <v>#REF!</v>
      </c>
      <c r="DT75" t="e">
        <f>AND(#REF!,"AAAAAH99fns=")</f>
        <v>#REF!</v>
      </c>
      <c r="DU75" t="e">
        <f>AND(#REF!,"AAAAAH99fnw=")</f>
        <v>#REF!</v>
      </c>
      <c r="DV75" t="e">
        <f>AND(#REF!,"AAAAAH99fn0=")</f>
        <v>#REF!</v>
      </c>
      <c r="DW75" t="e">
        <f>AND(#REF!,"AAAAAH99fn4=")</f>
        <v>#REF!</v>
      </c>
      <c r="DX75" t="e">
        <f>AND(#REF!,"AAAAAH99fn8=")</f>
        <v>#REF!</v>
      </c>
      <c r="DY75" t="e">
        <f>AND(#REF!,"AAAAAH99foA=")</f>
        <v>#REF!</v>
      </c>
      <c r="DZ75" t="e">
        <f>AND(#REF!,"AAAAAH99foE=")</f>
        <v>#REF!</v>
      </c>
      <c r="EA75" t="e">
        <f>AND(#REF!,"AAAAAH99foI=")</f>
        <v>#REF!</v>
      </c>
      <c r="EB75" t="e">
        <f>AND(#REF!,"AAAAAH99foM=")</f>
        <v>#REF!</v>
      </c>
      <c r="EC75" t="e">
        <f>AND(#REF!,"AAAAAH99foQ=")</f>
        <v>#REF!</v>
      </c>
      <c r="ED75" t="e">
        <f>AND(#REF!,"AAAAAH99foU=")</f>
        <v>#REF!</v>
      </c>
      <c r="EE75" t="e">
        <f>AND(#REF!,"AAAAAH99foY=")</f>
        <v>#REF!</v>
      </c>
      <c r="EF75" t="e">
        <f>AND(#REF!,"AAAAAH99foc=")</f>
        <v>#REF!</v>
      </c>
      <c r="EG75" t="e">
        <f>AND(#REF!,"AAAAAH99fog=")</f>
        <v>#REF!</v>
      </c>
      <c r="EH75" t="e">
        <f>AND(#REF!,"AAAAAH99fok=")</f>
        <v>#REF!</v>
      </c>
      <c r="EI75" t="e">
        <f>AND(#REF!,"AAAAAH99foo=")</f>
        <v>#REF!</v>
      </c>
      <c r="EJ75" t="e">
        <f>AND(#REF!,"AAAAAH99fos=")</f>
        <v>#REF!</v>
      </c>
      <c r="EK75" t="e">
        <f>AND(#REF!,"AAAAAH99fow=")</f>
        <v>#REF!</v>
      </c>
      <c r="EL75" t="e">
        <f>AND(#REF!,"AAAAAH99fo0=")</f>
        <v>#REF!</v>
      </c>
      <c r="EM75" t="e">
        <f>AND(#REF!,"AAAAAH99fo4=")</f>
        <v>#REF!</v>
      </c>
      <c r="EN75" t="e">
        <f>AND(#REF!,"AAAAAH99fo8=")</f>
        <v>#REF!</v>
      </c>
      <c r="EO75" t="e">
        <f>AND(#REF!,"AAAAAH99fpA=")</f>
        <v>#REF!</v>
      </c>
      <c r="EP75" t="e">
        <f>AND(#REF!,"AAAAAH99fpE=")</f>
        <v>#REF!</v>
      </c>
      <c r="EQ75" t="e">
        <f>AND(#REF!,"AAAAAH99fpI=")</f>
        <v>#REF!</v>
      </c>
      <c r="ER75" t="e">
        <f>AND(#REF!,"AAAAAH99fpM=")</f>
        <v>#REF!</v>
      </c>
      <c r="ES75" t="e">
        <f>AND(#REF!,"AAAAAH99fpQ=")</f>
        <v>#REF!</v>
      </c>
      <c r="ET75" t="e">
        <f>AND(#REF!,"AAAAAH99fpU=")</f>
        <v>#REF!</v>
      </c>
      <c r="EU75" t="e">
        <f>AND(#REF!,"AAAAAH99fpY=")</f>
        <v>#REF!</v>
      </c>
      <c r="EV75" t="e">
        <f>AND(#REF!,"AAAAAH99fpc=")</f>
        <v>#REF!</v>
      </c>
      <c r="EW75" t="e">
        <f>AND(#REF!,"AAAAAH99fpg=")</f>
        <v>#REF!</v>
      </c>
      <c r="EX75" t="e">
        <f>AND(#REF!,"AAAAAH99fpk=")</f>
        <v>#REF!</v>
      </c>
      <c r="EY75" t="e">
        <f>AND(#REF!,"AAAAAH99fpo=")</f>
        <v>#REF!</v>
      </c>
      <c r="EZ75" t="e">
        <f>AND(#REF!,"AAAAAH99fps=")</f>
        <v>#REF!</v>
      </c>
      <c r="FA75" t="e">
        <f>AND(#REF!,"AAAAAH99fpw=")</f>
        <v>#REF!</v>
      </c>
      <c r="FB75" t="e">
        <f>AND(#REF!,"AAAAAH99fp0=")</f>
        <v>#REF!</v>
      </c>
      <c r="FC75" t="e">
        <f>AND(#REF!,"AAAAAH99fp4=")</f>
        <v>#REF!</v>
      </c>
      <c r="FD75" t="e">
        <f>AND(#REF!,"AAAAAH99fp8=")</f>
        <v>#REF!</v>
      </c>
      <c r="FE75" t="e">
        <f>AND(#REF!,"AAAAAH99fqA=")</f>
        <v>#REF!</v>
      </c>
      <c r="FF75" t="e">
        <f>AND(#REF!,"AAAAAH99fqE=")</f>
        <v>#REF!</v>
      </c>
      <c r="FG75" t="e">
        <f>AND(#REF!,"AAAAAH99fqI=")</f>
        <v>#REF!</v>
      </c>
      <c r="FH75" t="e">
        <f>AND(#REF!,"AAAAAH99fqM=")</f>
        <v>#REF!</v>
      </c>
      <c r="FI75" t="e">
        <f>AND(#REF!,"AAAAAH99fqQ=")</f>
        <v>#REF!</v>
      </c>
      <c r="FJ75" t="e">
        <f>AND(#REF!,"AAAAAH99fqU=")</f>
        <v>#REF!</v>
      </c>
      <c r="FK75" t="e">
        <f>AND(#REF!,"AAAAAH99fqY=")</f>
        <v>#REF!</v>
      </c>
      <c r="FL75" t="e">
        <f>AND(#REF!,"AAAAAH99fqc=")</f>
        <v>#REF!</v>
      </c>
      <c r="FM75" t="e">
        <f>AND(#REF!,"AAAAAH99fqg=")</f>
        <v>#REF!</v>
      </c>
      <c r="FN75" t="e">
        <f>AND(#REF!,"AAAAAH99fqk=")</f>
        <v>#REF!</v>
      </c>
      <c r="FO75" t="e">
        <f>AND(#REF!,"AAAAAH99fqo=")</f>
        <v>#REF!</v>
      </c>
      <c r="FP75" t="e">
        <f>AND(#REF!,"AAAAAH99fqs=")</f>
        <v>#REF!</v>
      </c>
      <c r="FQ75" t="e">
        <f>AND(#REF!,"AAAAAH99fqw=")</f>
        <v>#REF!</v>
      </c>
      <c r="FR75" t="e">
        <f>AND(#REF!,"AAAAAH99fq0=")</f>
        <v>#REF!</v>
      </c>
      <c r="FS75" t="e">
        <f>AND(#REF!,"AAAAAH99fq4=")</f>
        <v>#REF!</v>
      </c>
      <c r="FT75" t="e">
        <f>AND(#REF!,"AAAAAH99fq8=")</f>
        <v>#REF!</v>
      </c>
      <c r="FU75" t="e">
        <f>AND(#REF!,"AAAAAH99frA=")</f>
        <v>#REF!</v>
      </c>
      <c r="FV75" t="e">
        <f>AND(#REF!,"AAAAAH99frE=")</f>
        <v>#REF!</v>
      </c>
      <c r="FW75" t="e">
        <f>AND(#REF!,"AAAAAH99frI=")</f>
        <v>#REF!</v>
      </c>
      <c r="FX75" t="e">
        <f>AND(#REF!,"AAAAAH99frM=")</f>
        <v>#REF!</v>
      </c>
      <c r="FY75" t="e">
        <f>AND(#REF!,"AAAAAH99frQ=")</f>
        <v>#REF!</v>
      </c>
      <c r="FZ75" t="e">
        <f>IF(#REF!,"AAAAAH99frU=",0)</f>
        <v>#REF!</v>
      </c>
      <c r="GA75" t="e">
        <f>AND(#REF!,"AAAAAH99frY=")</f>
        <v>#REF!</v>
      </c>
      <c r="GB75" t="e">
        <f>AND(#REF!,"AAAAAH99frc=")</f>
        <v>#REF!</v>
      </c>
      <c r="GC75" t="e">
        <f>AND(#REF!,"AAAAAH99frg=")</f>
        <v>#REF!</v>
      </c>
      <c r="GD75" t="e">
        <f>AND(#REF!,"AAAAAH99frk=")</f>
        <v>#REF!</v>
      </c>
      <c r="GE75" t="e">
        <f>AND(#REF!,"AAAAAH99fro=")</f>
        <v>#REF!</v>
      </c>
      <c r="GF75" t="e">
        <f>AND(#REF!,"AAAAAH99frs=")</f>
        <v>#REF!</v>
      </c>
      <c r="GG75" t="e">
        <f>AND(#REF!,"AAAAAH99frw=")</f>
        <v>#REF!</v>
      </c>
      <c r="GH75" t="e">
        <f>AND(#REF!,"AAAAAH99fr0=")</f>
        <v>#REF!</v>
      </c>
      <c r="GI75" t="e">
        <f>AND(#REF!,"AAAAAH99fr4=")</f>
        <v>#REF!</v>
      </c>
      <c r="GJ75" t="e">
        <f>AND(#REF!,"AAAAAH99fr8=")</f>
        <v>#REF!</v>
      </c>
      <c r="GK75" t="e">
        <f>AND(#REF!,"AAAAAH99fsA=")</f>
        <v>#REF!</v>
      </c>
      <c r="GL75" t="e">
        <f>AND(#REF!,"AAAAAH99fsE=")</f>
        <v>#REF!</v>
      </c>
      <c r="GM75" t="e">
        <f>AND(#REF!,"AAAAAH99fsI=")</f>
        <v>#REF!</v>
      </c>
      <c r="GN75" t="e">
        <f>AND(#REF!,"AAAAAH99fsM=")</f>
        <v>#REF!</v>
      </c>
      <c r="GO75" t="e">
        <f>AND(#REF!,"AAAAAH99fsQ=")</f>
        <v>#REF!</v>
      </c>
      <c r="GP75" t="e">
        <f>AND(#REF!,"AAAAAH99fsU=")</f>
        <v>#REF!</v>
      </c>
      <c r="GQ75" t="e">
        <f>AND(#REF!,"AAAAAH99fsY=")</f>
        <v>#REF!</v>
      </c>
      <c r="GR75" t="e">
        <f>AND(#REF!,"AAAAAH99fsc=")</f>
        <v>#REF!</v>
      </c>
      <c r="GS75" t="e">
        <f>AND(#REF!,"AAAAAH99fsg=")</f>
        <v>#REF!</v>
      </c>
      <c r="GT75" t="e">
        <f>AND(#REF!,"AAAAAH99fsk=")</f>
        <v>#REF!</v>
      </c>
      <c r="GU75" t="e">
        <f>AND(#REF!,"AAAAAH99fso=")</f>
        <v>#REF!</v>
      </c>
      <c r="GV75" t="e">
        <f>AND(#REF!,"AAAAAH99fss=")</f>
        <v>#REF!</v>
      </c>
      <c r="GW75" t="e">
        <f>AND(#REF!,"AAAAAH99fsw=")</f>
        <v>#REF!</v>
      </c>
      <c r="GX75" t="e">
        <f>AND(#REF!,"AAAAAH99fs0=")</f>
        <v>#REF!</v>
      </c>
      <c r="GY75" t="e">
        <f>AND(#REF!,"AAAAAH99fs4=")</f>
        <v>#REF!</v>
      </c>
      <c r="GZ75" t="e">
        <f>AND(#REF!,"AAAAAH99fs8=")</f>
        <v>#REF!</v>
      </c>
      <c r="HA75" t="e">
        <f>AND(#REF!,"AAAAAH99ftA=")</f>
        <v>#REF!</v>
      </c>
      <c r="HB75" t="e">
        <f>AND(#REF!,"AAAAAH99ftE=")</f>
        <v>#REF!</v>
      </c>
      <c r="HC75" t="e">
        <f>AND(#REF!,"AAAAAH99ftI=")</f>
        <v>#REF!</v>
      </c>
      <c r="HD75" t="e">
        <f>AND(#REF!,"AAAAAH99ftM=")</f>
        <v>#REF!</v>
      </c>
      <c r="HE75" t="e">
        <f>AND(#REF!,"AAAAAH99ftQ=")</f>
        <v>#REF!</v>
      </c>
      <c r="HF75" t="e">
        <f>AND(#REF!,"AAAAAH99ftU=")</f>
        <v>#REF!</v>
      </c>
      <c r="HG75" t="e">
        <f>AND(#REF!,"AAAAAH99ftY=")</f>
        <v>#REF!</v>
      </c>
      <c r="HH75" t="e">
        <f>AND(#REF!,"AAAAAH99ftc=")</f>
        <v>#REF!</v>
      </c>
      <c r="HI75" t="e">
        <f>AND(#REF!,"AAAAAH99ftg=")</f>
        <v>#REF!</v>
      </c>
      <c r="HJ75" t="e">
        <f>AND(#REF!,"AAAAAH99ftk=")</f>
        <v>#REF!</v>
      </c>
      <c r="HK75" t="e">
        <f>AND(#REF!,"AAAAAH99fto=")</f>
        <v>#REF!</v>
      </c>
      <c r="HL75" t="e">
        <f>AND(#REF!,"AAAAAH99fts=")</f>
        <v>#REF!</v>
      </c>
      <c r="HM75" t="e">
        <f>AND(#REF!,"AAAAAH99ftw=")</f>
        <v>#REF!</v>
      </c>
      <c r="HN75" t="e">
        <f>AND(#REF!,"AAAAAH99ft0=")</f>
        <v>#REF!</v>
      </c>
      <c r="HO75" t="e">
        <f>AND(#REF!,"AAAAAH99ft4=")</f>
        <v>#REF!</v>
      </c>
      <c r="HP75" t="e">
        <f>AND(#REF!,"AAAAAH99ft8=")</f>
        <v>#REF!</v>
      </c>
      <c r="HQ75" t="e">
        <f>AND(#REF!,"AAAAAH99fuA=")</f>
        <v>#REF!</v>
      </c>
      <c r="HR75" t="e">
        <f>AND(#REF!,"AAAAAH99fuE=")</f>
        <v>#REF!</v>
      </c>
      <c r="HS75" t="e">
        <f>AND(#REF!,"AAAAAH99fuI=")</f>
        <v>#REF!</v>
      </c>
      <c r="HT75" t="e">
        <f>AND(#REF!,"AAAAAH99fuM=")</f>
        <v>#REF!</v>
      </c>
      <c r="HU75" t="e">
        <f>AND(#REF!,"AAAAAH99fuQ=")</f>
        <v>#REF!</v>
      </c>
      <c r="HV75" t="e">
        <f>AND(#REF!,"AAAAAH99fuU=")</f>
        <v>#REF!</v>
      </c>
      <c r="HW75" t="e">
        <f>AND(#REF!,"AAAAAH99fuY=")</f>
        <v>#REF!</v>
      </c>
      <c r="HX75" t="e">
        <f>AND(#REF!,"AAAAAH99fuc=")</f>
        <v>#REF!</v>
      </c>
      <c r="HY75" t="e">
        <f>AND(#REF!,"AAAAAH99fug=")</f>
        <v>#REF!</v>
      </c>
      <c r="HZ75" t="e">
        <f>AND(#REF!,"AAAAAH99fuk=")</f>
        <v>#REF!</v>
      </c>
      <c r="IA75" t="e">
        <f>AND(#REF!,"AAAAAH99fuo=")</f>
        <v>#REF!</v>
      </c>
      <c r="IB75" t="e">
        <f>AND(#REF!,"AAAAAH99fus=")</f>
        <v>#REF!</v>
      </c>
      <c r="IC75" t="e">
        <f>AND(#REF!,"AAAAAH99fuw=")</f>
        <v>#REF!</v>
      </c>
      <c r="ID75" t="e">
        <f>AND(#REF!,"AAAAAH99fu0=")</f>
        <v>#REF!</v>
      </c>
      <c r="IE75" t="e">
        <f>AND(#REF!,"AAAAAH99fu4=")</f>
        <v>#REF!</v>
      </c>
      <c r="IF75" t="e">
        <f>AND(#REF!,"AAAAAH99fu8=")</f>
        <v>#REF!</v>
      </c>
      <c r="IG75" t="e">
        <f>AND(#REF!,"AAAAAH99fvA=")</f>
        <v>#REF!</v>
      </c>
      <c r="IH75" t="e">
        <f>AND(#REF!,"AAAAAH99fvE=")</f>
        <v>#REF!</v>
      </c>
      <c r="II75" t="e">
        <f>AND(#REF!,"AAAAAH99fvI=")</f>
        <v>#REF!</v>
      </c>
      <c r="IJ75" t="e">
        <f>AND(#REF!,"AAAAAH99fvM=")</f>
        <v>#REF!</v>
      </c>
      <c r="IK75" t="e">
        <f>AND(#REF!,"AAAAAH99fvQ=")</f>
        <v>#REF!</v>
      </c>
      <c r="IL75" t="e">
        <f>AND(#REF!,"AAAAAH99fvU=")</f>
        <v>#REF!</v>
      </c>
      <c r="IM75" t="e">
        <f>AND(#REF!,"AAAAAH99fvY=")</f>
        <v>#REF!</v>
      </c>
      <c r="IN75" t="e">
        <f>AND(#REF!,"AAAAAH99fvc=")</f>
        <v>#REF!</v>
      </c>
      <c r="IO75" t="e">
        <f>AND(#REF!,"AAAAAH99fvg=")</f>
        <v>#REF!</v>
      </c>
      <c r="IP75" t="e">
        <f>AND(#REF!,"AAAAAH99fvk=")</f>
        <v>#REF!</v>
      </c>
      <c r="IQ75" t="e">
        <f>AND(#REF!,"AAAAAH99fvo=")</f>
        <v>#REF!</v>
      </c>
      <c r="IR75" t="e">
        <f>AND(#REF!,"AAAAAH99fvs=")</f>
        <v>#REF!</v>
      </c>
      <c r="IS75" t="e">
        <f>AND(#REF!,"AAAAAH99fvw=")</f>
        <v>#REF!</v>
      </c>
      <c r="IT75" t="e">
        <f>AND(#REF!,"AAAAAH99fv0=")</f>
        <v>#REF!</v>
      </c>
      <c r="IU75" t="e">
        <f>AND(#REF!,"AAAAAH99fv4=")</f>
        <v>#REF!</v>
      </c>
      <c r="IV75" t="e">
        <f>AND(#REF!,"AAAAAH99fv8=")</f>
        <v>#REF!</v>
      </c>
    </row>
    <row r="76" spans="1:256" x14ac:dyDescent="0.2">
      <c r="A76" t="e">
        <f>IF(#REF!,"AAAAAHXq3wA=",0)</f>
        <v>#REF!</v>
      </c>
      <c r="B76" t="e">
        <f>AND(#REF!,"AAAAAHXq3wE=")</f>
        <v>#REF!</v>
      </c>
      <c r="C76" t="e">
        <f>AND(#REF!,"AAAAAHXq3wI=")</f>
        <v>#REF!</v>
      </c>
      <c r="D76" t="e">
        <f>AND(#REF!,"AAAAAHXq3wM=")</f>
        <v>#REF!</v>
      </c>
      <c r="E76" t="e">
        <f>AND(#REF!,"AAAAAHXq3wQ=")</f>
        <v>#REF!</v>
      </c>
      <c r="F76" t="e">
        <f>AND(#REF!,"AAAAAHXq3wU=")</f>
        <v>#REF!</v>
      </c>
      <c r="G76" t="e">
        <f>AND(#REF!,"AAAAAHXq3wY=")</f>
        <v>#REF!</v>
      </c>
      <c r="H76" t="e">
        <f>AND(#REF!,"AAAAAHXq3wc=")</f>
        <v>#REF!</v>
      </c>
      <c r="I76" t="e">
        <f>AND(#REF!,"AAAAAHXq3wg=")</f>
        <v>#REF!</v>
      </c>
      <c r="J76" t="e">
        <f>AND(#REF!,"AAAAAHXq3wk=")</f>
        <v>#REF!</v>
      </c>
      <c r="K76" t="e">
        <f>AND(#REF!,"AAAAAHXq3wo=")</f>
        <v>#REF!</v>
      </c>
      <c r="L76" t="e">
        <f>AND(#REF!,"AAAAAHXq3ws=")</f>
        <v>#REF!</v>
      </c>
      <c r="M76" t="e">
        <f>AND(#REF!,"AAAAAHXq3ww=")</f>
        <v>#REF!</v>
      </c>
      <c r="N76" t="e">
        <f>AND(#REF!,"AAAAAHXq3w0=")</f>
        <v>#REF!</v>
      </c>
      <c r="O76" t="e">
        <f>AND(#REF!,"AAAAAHXq3w4=")</f>
        <v>#REF!</v>
      </c>
      <c r="P76" t="e">
        <f>AND(#REF!,"AAAAAHXq3w8=")</f>
        <v>#REF!</v>
      </c>
      <c r="Q76" t="e">
        <f>AND(#REF!,"AAAAAHXq3xA=")</f>
        <v>#REF!</v>
      </c>
      <c r="R76" t="e">
        <f>AND(#REF!,"AAAAAHXq3xE=")</f>
        <v>#REF!</v>
      </c>
      <c r="S76" t="e">
        <f>AND(#REF!,"AAAAAHXq3xI=")</f>
        <v>#REF!</v>
      </c>
      <c r="T76" t="e">
        <f>AND(#REF!,"AAAAAHXq3xM=")</f>
        <v>#REF!</v>
      </c>
      <c r="U76" t="e">
        <f>AND(#REF!,"AAAAAHXq3xQ=")</f>
        <v>#REF!</v>
      </c>
      <c r="V76" t="e">
        <f>AND(#REF!,"AAAAAHXq3xU=")</f>
        <v>#REF!</v>
      </c>
      <c r="W76" t="e">
        <f>AND(#REF!,"AAAAAHXq3xY=")</f>
        <v>#REF!</v>
      </c>
      <c r="X76" t="e">
        <f>AND(#REF!,"AAAAAHXq3xc=")</f>
        <v>#REF!</v>
      </c>
      <c r="Y76" t="e">
        <f>AND(#REF!,"AAAAAHXq3xg=")</f>
        <v>#REF!</v>
      </c>
      <c r="Z76" t="e">
        <f>AND(#REF!,"AAAAAHXq3xk=")</f>
        <v>#REF!</v>
      </c>
      <c r="AA76" t="e">
        <f>AND(#REF!,"AAAAAHXq3xo=")</f>
        <v>#REF!</v>
      </c>
      <c r="AB76" t="e">
        <f>AND(#REF!,"AAAAAHXq3xs=")</f>
        <v>#REF!</v>
      </c>
      <c r="AC76" t="e">
        <f>AND(#REF!,"AAAAAHXq3xw=")</f>
        <v>#REF!</v>
      </c>
      <c r="AD76" t="e">
        <f>AND(#REF!,"AAAAAHXq3x0=")</f>
        <v>#REF!</v>
      </c>
      <c r="AE76" t="e">
        <f>AND(#REF!,"AAAAAHXq3x4=")</f>
        <v>#REF!</v>
      </c>
      <c r="AF76" t="e">
        <f>AND(#REF!,"AAAAAHXq3x8=")</f>
        <v>#REF!</v>
      </c>
      <c r="AG76" t="e">
        <f>AND(#REF!,"AAAAAHXq3yA=")</f>
        <v>#REF!</v>
      </c>
      <c r="AH76" t="e">
        <f>AND(#REF!,"AAAAAHXq3yE=")</f>
        <v>#REF!</v>
      </c>
      <c r="AI76" t="e">
        <f>AND(#REF!,"AAAAAHXq3yI=")</f>
        <v>#REF!</v>
      </c>
      <c r="AJ76" t="e">
        <f>AND(#REF!,"AAAAAHXq3yM=")</f>
        <v>#REF!</v>
      </c>
      <c r="AK76" t="e">
        <f>AND(#REF!,"AAAAAHXq3yQ=")</f>
        <v>#REF!</v>
      </c>
      <c r="AL76" t="e">
        <f>AND(#REF!,"AAAAAHXq3yU=")</f>
        <v>#REF!</v>
      </c>
      <c r="AM76" t="e">
        <f>AND(#REF!,"AAAAAHXq3yY=")</f>
        <v>#REF!</v>
      </c>
      <c r="AN76" t="e">
        <f>AND(#REF!,"AAAAAHXq3yc=")</f>
        <v>#REF!</v>
      </c>
      <c r="AO76" t="e">
        <f>AND(#REF!,"AAAAAHXq3yg=")</f>
        <v>#REF!</v>
      </c>
      <c r="AP76" t="e">
        <f>AND(#REF!,"AAAAAHXq3yk=")</f>
        <v>#REF!</v>
      </c>
      <c r="AQ76" t="e">
        <f>AND(#REF!,"AAAAAHXq3yo=")</f>
        <v>#REF!</v>
      </c>
      <c r="AR76" t="e">
        <f>AND(#REF!,"AAAAAHXq3ys=")</f>
        <v>#REF!</v>
      </c>
      <c r="AS76" t="e">
        <f>AND(#REF!,"AAAAAHXq3yw=")</f>
        <v>#REF!</v>
      </c>
      <c r="AT76" t="e">
        <f>AND(#REF!,"AAAAAHXq3y0=")</f>
        <v>#REF!</v>
      </c>
      <c r="AU76" t="e">
        <f>AND(#REF!,"AAAAAHXq3y4=")</f>
        <v>#REF!</v>
      </c>
      <c r="AV76" t="e">
        <f>AND(#REF!,"AAAAAHXq3y8=")</f>
        <v>#REF!</v>
      </c>
      <c r="AW76" t="e">
        <f>AND(#REF!,"AAAAAHXq3zA=")</f>
        <v>#REF!</v>
      </c>
      <c r="AX76" t="e">
        <f>AND(#REF!,"AAAAAHXq3zE=")</f>
        <v>#REF!</v>
      </c>
      <c r="AY76" t="e">
        <f>AND(#REF!,"AAAAAHXq3zI=")</f>
        <v>#REF!</v>
      </c>
      <c r="AZ76" t="e">
        <f>AND(#REF!,"AAAAAHXq3zM=")</f>
        <v>#REF!</v>
      </c>
      <c r="BA76" t="e">
        <f>AND(#REF!,"AAAAAHXq3zQ=")</f>
        <v>#REF!</v>
      </c>
      <c r="BB76" t="e">
        <f>AND(#REF!,"AAAAAHXq3zU=")</f>
        <v>#REF!</v>
      </c>
      <c r="BC76" t="e">
        <f>AND(#REF!,"AAAAAHXq3zY=")</f>
        <v>#REF!</v>
      </c>
      <c r="BD76" t="e">
        <f>AND(#REF!,"AAAAAHXq3zc=")</f>
        <v>#REF!</v>
      </c>
      <c r="BE76" t="e">
        <f>AND(#REF!,"AAAAAHXq3zg=")</f>
        <v>#REF!</v>
      </c>
      <c r="BF76" t="e">
        <f>AND(#REF!,"AAAAAHXq3zk=")</f>
        <v>#REF!</v>
      </c>
      <c r="BG76" t="e">
        <f>AND(#REF!,"AAAAAHXq3zo=")</f>
        <v>#REF!</v>
      </c>
      <c r="BH76" t="e">
        <f>AND(#REF!,"AAAAAHXq3zs=")</f>
        <v>#REF!</v>
      </c>
      <c r="BI76" t="e">
        <f>AND(#REF!,"AAAAAHXq3zw=")</f>
        <v>#REF!</v>
      </c>
      <c r="BJ76" t="e">
        <f>AND(#REF!,"AAAAAHXq3z0=")</f>
        <v>#REF!</v>
      </c>
      <c r="BK76" t="e">
        <f>AND(#REF!,"AAAAAHXq3z4=")</f>
        <v>#REF!</v>
      </c>
      <c r="BL76" t="e">
        <f>AND(#REF!,"AAAAAHXq3z8=")</f>
        <v>#REF!</v>
      </c>
      <c r="BM76" t="e">
        <f>AND(#REF!,"AAAAAHXq30A=")</f>
        <v>#REF!</v>
      </c>
      <c r="BN76" t="e">
        <f>AND(#REF!,"AAAAAHXq30E=")</f>
        <v>#REF!</v>
      </c>
      <c r="BO76" t="e">
        <f>AND(#REF!,"AAAAAHXq30I=")</f>
        <v>#REF!</v>
      </c>
      <c r="BP76" t="e">
        <f>AND(#REF!,"AAAAAHXq30M=")</f>
        <v>#REF!</v>
      </c>
      <c r="BQ76" t="e">
        <f>AND(#REF!,"AAAAAHXq30Q=")</f>
        <v>#REF!</v>
      </c>
      <c r="BR76" t="e">
        <f>AND(#REF!,"AAAAAHXq30U=")</f>
        <v>#REF!</v>
      </c>
      <c r="BS76" t="e">
        <f>AND(#REF!,"AAAAAHXq30Y=")</f>
        <v>#REF!</v>
      </c>
      <c r="BT76" t="e">
        <f>AND(#REF!,"AAAAAHXq30c=")</f>
        <v>#REF!</v>
      </c>
      <c r="BU76" t="e">
        <f>AND(#REF!,"AAAAAHXq30g=")</f>
        <v>#REF!</v>
      </c>
      <c r="BV76" t="e">
        <f>AND(#REF!,"AAAAAHXq30k=")</f>
        <v>#REF!</v>
      </c>
      <c r="BW76" t="e">
        <f>AND(#REF!,"AAAAAHXq30o=")</f>
        <v>#REF!</v>
      </c>
      <c r="BX76" t="e">
        <f>IF(#REF!,"AAAAAHXq30s=",0)</f>
        <v>#REF!</v>
      </c>
      <c r="BY76" t="e">
        <f>AND(#REF!,"AAAAAHXq30w=")</f>
        <v>#REF!</v>
      </c>
      <c r="BZ76" t="e">
        <f>AND(#REF!,"AAAAAHXq300=")</f>
        <v>#REF!</v>
      </c>
      <c r="CA76" t="e">
        <f>AND(#REF!,"AAAAAHXq304=")</f>
        <v>#REF!</v>
      </c>
      <c r="CB76" t="e">
        <f>AND(#REF!,"AAAAAHXq308=")</f>
        <v>#REF!</v>
      </c>
      <c r="CC76" t="e">
        <f>AND(#REF!,"AAAAAHXq31A=")</f>
        <v>#REF!</v>
      </c>
      <c r="CD76" t="e">
        <f>AND(#REF!,"AAAAAHXq31E=")</f>
        <v>#REF!</v>
      </c>
      <c r="CE76" t="e">
        <f>AND(#REF!,"AAAAAHXq31I=")</f>
        <v>#REF!</v>
      </c>
      <c r="CF76" t="e">
        <f>AND(#REF!,"AAAAAHXq31M=")</f>
        <v>#REF!</v>
      </c>
      <c r="CG76" t="e">
        <f>AND(#REF!,"AAAAAHXq31Q=")</f>
        <v>#REF!</v>
      </c>
      <c r="CH76" t="e">
        <f>AND(#REF!,"AAAAAHXq31U=")</f>
        <v>#REF!</v>
      </c>
      <c r="CI76" t="e">
        <f>AND(#REF!,"AAAAAHXq31Y=")</f>
        <v>#REF!</v>
      </c>
      <c r="CJ76" t="e">
        <f>AND(#REF!,"AAAAAHXq31c=")</f>
        <v>#REF!</v>
      </c>
      <c r="CK76" t="e">
        <f>AND(#REF!,"AAAAAHXq31g=")</f>
        <v>#REF!</v>
      </c>
      <c r="CL76" t="e">
        <f>AND(#REF!,"AAAAAHXq31k=")</f>
        <v>#REF!</v>
      </c>
      <c r="CM76" t="e">
        <f>AND(#REF!,"AAAAAHXq31o=")</f>
        <v>#REF!</v>
      </c>
      <c r="CN76" t="e">
        <f>AND(#REF!,"AAAAAHXq31s=")</f>
        <v>#REF!</v>
      </c>
      <c r="CO76" t="e">
        <f>AND(#REF!,"AAAAAHXq31w=")</f>
        <v>#REF!</v>
      </c>
      <c r="CP76" t="e">
        <f>AND(#REF!,"AAAAAHXq310=")</f>
        <v>#REF!</v>
      </c>
      <c r="CQ76" t="e">
        <f>AND(#REF!,"AAAAAHXq314=")</f>
        <v>#REF!</v>
      </c>
      <c r="CR76" t="e">
        <f>AND(#REF!,"AAAAAHXq318=")</f>
        <v>#REF!</v>
      </c>
      <c r="CS76" t="e">
        <f>AND(#REF!,"AAAAAHXq32A=")</f>
        <v>#REF!</v>
      </c>
      <c r="CT76" t="e">
        <f>AND(#REF!,"AAAAAHXq32E=")</f>
        <v>#REF!</v>
      </c>
      <c r="CU76" t="e">
        <f>AND(#REF!,"AAAAAHXq32I=")</f>
        <v>#REF!</v>
      </c>
      <c r="CV76" t="e">
        <f>AND(#REF!,"AAAAAHXq32M=")</f>
        <v>#REF!</v>
      </c>
      <c r="CW76" t="e">
        <f>AND(#REF!,"AAAAAHXq32Q=")</f>
        <v>#REF!</v>
      </c>
      <c r="CX76" t="e">
        <f>AND(#REF!,"AAAAAHXq32U=")</f>
        <v>#REF!</v>
      </c>
      <c r="CY76" t="e">
        <f>AND(#REF!,"AAAAAHXq32Y=")</f>
        <v>#REF!</v>
      </c>
      <c r="CZ76" t="e">
        <f>AND(#REF!,"AAAAAHXq32c=")</f>
        <v>#REF!</v>
      </c>
      <c r="DA76" t="e">
        <f>AND(#REF!,"AAAAAHXq32g=")</f>
        <v>#REF!</v>
      </c>
      <c r="DB76" t="e">
        <f>AND(#REF!,"AAAAAHXq32k=")</f>
        <v>#REF!</v>
      </c>
      <c r="DC76" t="e">
        <f>AND(#REF!,"AAAAAHXq32o=")</f>
        <v>#REF!</v>
      </c>
      <c r="DD76" t="e">
        <f>AND(#REF!,"AAAAAHXq32s=")</f>
        <v>#REF!</v>
      </c>
      <c r="DE76" t="e">
        <f>AND(#REF!,"AAAAAHXq32w=")</f>
        <v>#REF!</v>
      </c>
      <c r="DF76" t="e">
        <f>AND(#REF!,"AAAAAHXq320=")</f>
        <v>#REF!</v>
      </c>
      <c r="DG76" t="e">
        <f>AND(#REF!,"AAAAAHXq324=")</f>
        <v>#REF!</v>
      </c>
      <c r="DH76" t="e">
        <f>AND(#REF!,"AAAAAHXq328=")</f>
        <v>#REF!</v>
      </c>
      <c r="DI76" t="e">
        <f>AND(#REF!,"AAAAAHXq33A=")</f>
        <v>#REF!</v>
      </c>
      <c r="DJ76" t="e">
        <f>AND(#REF!,"AAAAAHXq33E=")</f>
        <v>#REF!</v>
      </c>
      <c r="DK76" t="e">
        <f>AND(#REF!,"AAAAAHXq33I=")</f>
        <v>#REF!</v>
      </c>
      <c r="DL76" t="e">
        <f>AND(#REF!,"AAAAAHXq33M=")</f>
        <v>#REF!</v>
      </c>
      <c r="DM76" t="e">
        <f>AND(#REF!,"AAAAAHXq33Q=")</f>
        <v>#REF!</v>
      </c>
      <c r="DN76" t="e">
        <f>AND(#REF!,"AAAAAHXq33U=")</f>
        <v>#REF!</v>
      </c>
      <c r="DO76" t="e">
        <f>AND(#REF!,"AAAAAHXq33Y=")</f>
        <v>#REF!</v>
      </c>
      <c r="DP76" t="e">
        <f>AND(#REF!,"AAAAAHXq33c=")</f>
        <v>#REF!</v>
      </c>
      <c r="DQ76" t="e">
        <f>AND(#REF!,"AAAAAHXq33g=")</f>
        <v>#REF!</v>
      </c>
      <c r="DR76" t="e">
        <f>AND(#REF!,"AAAAAHXq33k=")</f>
        <v>#REF!</v>
      </c>
      <c r="DS76" t="e">
        <f>AND(#REF!,"AAAAAHXq33o=")</f>
        <v>#REF!</v>
      </c>
      <c r="DT76" t="e">
        <f>AND(#REF!,"AAAAAHXq33s=")</f>
        <v>#REF!</v>
      </c>
      <c r="DU76" t="e">
        <f>AND(#REF!,"AAAAAHXq33w=")</f>
        <v>#REF!</v>
      </c>
      <c r="DV76" t="e">
        <f>AND(#REF!,"AAAAAHXq330=")</f>
        <v>#REF!</v>
      </c>
      <c r="DW76" t="e">
        <f>AND(#REF!,"AAAAAHXq334=")</f>
        <v>#REF!</v>
      </c>
      <c r="DX76" t="e">
        <f>AND(#REF!,"AAAAAHXq338=")</f>
        <v>#REF!</v>
      </c>
      <c r="DY76" t="e">
        <f>AND(#REF!,"AAAAAHXq34A=")</f>
        <v>#REF!</v>
      </c>
      <c r="DZ76" t="e">
        <f>AND(#REF!,"AAAAAHXq34E=")</f>
        <v>#REF!</v>
      </c>
      <c r="EA76" t="e">
        <f>AND(#REF!,"AAAAAHXq34I=")</f>
        <v>#REF!</v>
      </c>
      <c r="EB76" t="e">
        <f>AND(#REF!,"AAAAAHXq34M=")</f>
        <v>#REF!</v>
      </c>
      <c r="EC76" t="e">
        <f>AND(#REF!,"AAAAAHXq34Q=")</f>
        <v>#REF!</v>
      </c>
      <c r="ED76" t="e">
        <f>AND(#REF!,"AAAAAHXq34U=")</f>
        <v>#REF!</v>
      </c>
      <c r="EE76" t="e">
        <f>AND(#REF!,"AAAAAHXq34Y=")</f>
        <v>#REF!</v>
      </c>
      <c r="EF76" t="e">
        <f>AND(#REF!,"AAAAAHXq34c=")</f>
        <v>#REF!</v>
      </c>
      <c r="EG76" t="e">
        <f>AND(#REF!,"AAAAAHXq34g=")</f>
        <v>#REF!</v>
      </c>
      <c r="EH76" t="e">
        <f>AND(#REF!,"AAAAAHXq34k=")</f>
        <v>#REF!</v>
      </c>
      <c r="EI76" t="e">
        <f>AND(#REF!,"AAAAAHXq34o=")</f>
        <v>#REF!</v>
      </c>
      <c r="EJ76" t="e">
        <f>AND(#REF!,"AAAAAHXq34s=")</f>
        <v>#REF!</v>
      </c>
      <c r="EK76" t="e">
        <f>AND(#REF!,"AAAAAHXq34w=")</f>
        <v>#REF!</v>
      </c>
      <c r="EL76" t="e">
        <f>AND(#REF!,"AAAAAHXq340=")</f>
        <v>#REF!</v>
      </c>
      <c r="EM76" t="e">
        <f>AND(#REF!,"AAAAAHXq344=")</f>
        <v>#REF!</v>
      </c>
      <c r="EN76" t="e">
        <f>AND(#REF!,"AAAAAHXq348=")</f>
        <v>#REF!</v>
      </c>
      <c r="EO76" t="e">
        <f>AND(#REF!,"AAAAAHXq35A=")</f>
        <v>#REF!</v>
      </c>
      <c r="EP76" t="e">
        <f>AND(#REF!,"AAAAAHXq35E=")</f>
        <v>#REF!</v>
      </c>
      <c r="EQ76" t="e">
        <f>AND(#REF!,"AAAAAHXq35I=")</f>
        <v>#REF!</v>
      </c>
      <c r="ER76" t="e">
        <f>AND(#REF!,"AAAAAHXq35M=")</f>
        <v>#REF!</v>
      </c>
      <c r="ES76" t="e">
        <f>AND(#REF!,"AAAAAHXq35Q=")</f>
        <v>#REF!</v>
      </c>
      <c r="ET76" t="e">
        <f>AND(#REF!,"AAAAAHXq35U=")</f>
        <v>#REF!</v>
      </c>
      <c r="EU76" t="e">
        <f>IF(#REF!,"AAAAAHXq35Y=",0)</f>
        <v>#REF!</v>
      </c>
      <c r="EV76" t="e">
        <f>AND(#REF!,"AAAAAHXq35c=")</f>
        <v>#REF!</v>
      </c>
      <c r="EW76" t="e">
        <f>AND(#REF!,"AAAAAHXq35g=")</f>
        <v>#REF!</v>
      </c>
      <c r="EX76" t="e">
        <f>AND(#REF!,"AAAAAHXq35k=")</f>
        <v>#REF!</v>
      </c>
      <c r="EY76" t="e">
        <f>AND(#REF!,"AAAAAHXq35o=")</f>
        <v>#REF!</v>
      </c>
      <c r="EZ76" t="e">
        <f>AND(#REF!,"AAAAAHXq35s=")</f>
        <v>#REF!</v>
      </c>
      <c r="FA76" t="e">
        <f>AND(#REF!,"AAAAAHXq35w=")</f>
        <v>#REF!</v>
      </c>
      <c r="FB76" t="e">
        <f>AND(#REF!,"AAAAAHXq350=")</f>
        <v>#REF!</v>
      </c>
      <c r="FC76" t="e">
        <f>AND(#REF!,"AAAAAHXq354=")</f>
        <v>#REF!</v>
      </c>
      <c r="FD76" t="e">
        <f>AND(#REF!,"AAAAAHXq358=")</f>
        <v>#REF!</v>
      </c>
      <c r="FE76" t="e">
        <f>AND(#REF!,"AAAAAHXq36A=")</f>
        <v>#REF!</v>
      </c>
      <c r="FF76" t="e">
        <f>AND(#REF!,"AAAAAHXq36E=")</f>
        <v>#REF!</v>
      </c>
      <c r="FG76" t="e">
        <f>AND(#REF!,"AAAAAHXq36I=")</f>
        <v>#REF!</v>
      </c>
      <c r="FH76" t="e">
        <f>AND(#REF!,"AAAAAHXq36M=")</f>
        <v>#REF!</v>
      </c>
      <c r="FI76" t="e">
        <f>AND(#REF!,"AAAAAHXq36Q=")</f>
        <v>#REF!</v>
      </c>
      <c r="FJ76" t="e">
        <f>AND(#REF!,"AAAAAHXq36U=")</f>
        <v>#REF!</v>
      </c>
      <c r="FK76" t="e">
        <f>AND(#REF!,"AAAAAHXq36Y=")</f>
        <v>#REF!</v>
      </c>
      <c r="FL76" t="e">
        <f>AND(#REF!,"AAAAAHXq36c=")</f>
        <v>#REF!</v>
      </c>
      <c r="FM76" t="e">
        <f>AND(#REF!,"AAAAAHXq36g=")</f>
        <v>#REF!</v>
      </c>
      <c r="FN76" t="e">
        <f>AND(#REF!,"AAAAAHXq36k=")</f>
        <v>#REF!</v>
      </c>
      <c r="FO76" t="e">
        <f>AND(#REF!,"AAAAAHXq36o=")</f>
        <v>#REF!</v>
      </c>
      <c r="FP76" t="e">
        <f>AND(#REF!,"AAAAAHXq36s=")</f>
        <v>#REF!</v>
      </c>
      <c r="FQ76" t="e">
        <f>AND(#REF!,"AAAAAHXq36w=")</f>
        <v>#REF!</v>
      </c>
      <c r="FR76" t="e">
        <f>AND(#REF!,"AAAAAHXq360=")</f>
        <v>#REF!</v>
      </c>
      <c r="FS76" t="e">
        <f>AND(#REF!,"AAAAAHXq364=")</f>
        <v>#REF!</v>
      </c>
      <c r="FT76" t="e">
        <f>AND(#REF!,"AAAAAHXq368=")</f>
        <v>#REF!</v>
      </c>
      <c r="FU76" t="e">
        <f>AND(#REF!,"AAAAAHXq37A=")</f>
        <v>#REF!</v>
      </c>
      <c r="FV76" t="e">
        <f>AND(#REF!,"AAAAAHXq37E=")</f>
        <v>#REF!</v>
      </c>
      <c r="FW76" t="e">
        <f>AND(#REF!,"AAAAAHXq37I=")</f>
        <v>#REF!</v>
      </c>
      <c r="FX76" t="e">
        <f>AND(#REF!,"AAAAAHXq37M=")</f>
        <v>#REF!</v>
      </c>
      <c r="FY76" t="e">
        <f>AND(#REF!,"AAAAAHXq37Q=")</f>
        <v>#REF!</v>
      </c>
      <c r="FZ76" t="e">
        <f>AND(#REF!,"AAAAAHXq37U=")</f>
        <v>#REF!</v>
      </c>
      <c r="GA76" t="e">
        <f>AND(#REF!,"AAAAAHXq37Y=")</f>
        <v>#REF!</v>
      </c>
      <c r="GB76" t="e">
        <f>AND(#REF!,"AAAAAHXq37c=")</f>
        <v>#REF!</v>
      </c>
      <c r="GC76" t="e">
        <f>AND(#REF!,"AAAAAHXq37g=")</f>
        <v>#REF!</v>
      </c>
      <c r="GD76" t="e">
        <f>AND(#REF!,"AAAAAHXq37k=")</f>
        <v>#REF!</v>
      </c>
      <c r="GE76" t="e">
        <f>AND(#REF!,"AAAAAHXq37o=")</f>
        <v>#REF!</v>
      </c>
      <c r="GF76" t="e">
        <f>AND(#REF!,"AAAAAHXq37s=")</f>
        <v>#REF!</v>
      </c>
      <c r="GG76" t="e">
        <f>AND(#REF!,"AAAAAHXq37w=")</f>
        <v>#REF!</v>
      </c>
      <c r="GH76" t="e">
        <f>AND(#REF!,"AAAAAHXq370=")</f>
        <v>#REF!</v>
      </c>
      <c r="GI76" t="e">
        <f>AND(#REF!,"AAAAAHXq374=")</f>
        <v>#REF!</v>
      </c>
      <c r="GJ76" t="e">
        <f>AND(#REF!,"AAAAAHXq378=")</f>
        <v>#REF!</v>
      </c>
      <c r="GK76" t="e">
        <f>AND(#REF!,"AAAAAHXq38A=")</f>
        <v>#REF!</v>
      </c>
      <c r="GL76" t="e">
        <f>AND(#REF!,"AAAAAHXq38E=")</f>
        <v>#REF!</v>
      </c>
      <c r="GM76" t="e">
        <f>AND(#REF!,"AAAAAHXq38I=")</f>
        <v>#REF!</v>
      </c>
      <c r="GN76" t="e">
        <f>AND(#REF!,"AAAAAHXq38M=")</f>
        <v>#REF!</v>
      </c>
      <c r="GO76" t="e">
        <f>AND(#REF!,"AAAAAHXq38Q=")</f>
        <v>#REF!</v>
      </c>
      <c r="GP76" t="e">
        <f>AND(#REF!,"AAAAAHXq38U=")</f>
        <v>#REF!</v>
      </c>
      <c r="GQ76" t="e">
        <f>AND(#REF!,"AAAAAHXq38Y=")</f>
        <v>#REF!</v>
      </c>
      <c r="GR76" t="e">
        <f>AND(#REF!,"AAAAAHXq38c=")</f>
        <v>#REF!</v>
      </c>
      <c r="GS76" t="e">
        <f>AND(#REF!,"AAAAAHXq38g=")</f>
        <v>#REF!</v>
      </c>
      <c r="GT76" t="e">
        <f>AND(#REF!,"AAAAAHXq38k=")</f>
        <v>#REF!</v>
      </c>
      <c r="GU76" t="e">
        <f>AND(#REF!,"AAAAAHXq38o=")</f>
        <v>#REF!</v>
      </c>
      <c r="GV76" t="e">
        <f>AND(#REF!,"AAAAAHXq38s=")</f>
        <v>#REF!</v>
      </c>
      <c r="GW76" t="e">
        <f>AND(#REF!,"AAAAAHXq38w=")</f>
        <v>#REF!</v>
      </c>
      <c r="GX76" t="e">
        <f>AND(#REF!,"AAAAAHXq380=")</f>
        <v>#REF!</v>
      </c>
      <c r="GY76" t="e">
        <f>AND(#REF!,"AAAAAHXq384=")</f>
        <v>#REF!</v>
      </c>
      <c r="GZ76" t="e">
        <f>AND(#REF!,"AAAAAHXq388=")</f>
        <v>#REF!</v>
      </c>
      <c r="HA76" t="e">
        <f>AND(#REF!,"AAAAAHXq39A=")</f>
        <v>#REF!</v>
      </c>
      <c r="HB76" t="e">
        <f>AND(#REF!,"AAAAAHXq39E=")</f>
        <v>#REF!</v>
      </c>
      <c r="HC76" t="e">
        <f>AND(#REF!,"AAAAAHXq39I=")</f>
        <v>#REF!</v>
      </c>
      <c r="HD76" t="e">
        <f>AND(#REF!,"AAAAAHXq39M=")</f>
        <v>#REF!</v>
      </c>
      <c r="HE76" t="e">
        <f>AND(#REF!,"AAAAAHXq39Q=")</f>
        <v>#REF!</v>
      </c>
      <c r="HF76" t="e">
        <f>AND(#REF!,"AAAAAHXq39U=")</f>
        <v>#REF!</v>
      </c>
      <c r="HG76" t="e">
        <f>AND(#REF!,"AAAAAHXq39Y=")</f>
        <v>#REF!</v>
      </c>
      <c r="HH76" t="e">
        <f>AND(#REF!,"AAAAAHXq39c=")</f>
        <v>#REF!</v>
      </c>
      <c r="HI76" t="e">
        <f>AND(#REF!,"AAAAAHXq39g=")</f>
        <v>#REF!</v>
      </c>
      <c r="HJ76" t="e">
        <f>AND(#REF!,"AAAAAHXq39k=")</f>
        <v>#REF!</v>
      </c>
      <c r="HK76" t="e">
        <f>AND(#REF!,"AAAAAHXq39o=")</f>
        <v>#REF!</v>
      </c>
      <c r="HL76" t="e">
        <f>AND(#REF!,"AAAAAHXq39s=")</f>
        <v>#REF!</v>
      </c>
      <c r="HM76" t="e">
        <f>AND(#REF!,"AAAAAHXq39w=")</f>
        <v>#REF!</v>
      </c>
      <c r="HN76" t="e">
        <f>AND(#REF!,"AAAAAHXq390=")</f>
        <v>#REF!</v>
      </c>
      <c r="HO76" t="e">
        <f>AND(#REF!,"AAAAAHXq394=")</f>
        <v>#REF!</v>
      </c>
      <c r="HP76" t="e">
        <f>AND(#REF!,"AAAAAHXq398=")</f>
        <v>#REF!</v>
      </c>
      <c r="HQ76" t="e">
        <f>AND(#REF!,"AAAAAHXq3+A=")</f>
        <v>#REF!</v>
      </c>
      <c r="HR76" t="e">
        <f>IF(#REF!,"AAAAAHXq3+E=",0)</f>
        <v>#REF!</v>
      </c>
      <c r="HS76" t="e">
        <f>AND(#REF!,"AAAAAHXq3+I=")</f>
        <v>#REF!</v>
      </c>
      <c r="HT76" t="e">
        <f>AND(#REF!,"AAAAAHXq3+M=")</f>
        <v>#REF!</v>
      </c>
      <c r="HU76" t="e">
        <f>AND(#REF!,"AAAAAHXq3+Q=")</f>
        <v>#REF!</v>
      </c>
      <c r="HV76" t="e">
        <f>AND(#REF!,"AAAAAHXq3+U=")</f>
        <v>#REF!</v>
      </c>
      <c r="HW76" t="e">
        <f>AND(#REF!,"AAAAAHXq3+Y=")</f>
        <v>#REF!</v>
      </c>
      <c r="HX76" t="e">
        <f>AND(#REF!,"AAAAAHXq3+c=")</f>
        <v>#REF!</v>
      </c>
      <c r="HY76" t="e">
        <f>AND(#REF!,"AAAAAHXq3+g=")</f>
        <v>#REF!</v>
      </c>
      <c r="HZ76" t="e">
        <f>AND(#REF!,"AAAAAHXq3+k=")</f>
        <v>#REF!</v>
      </c>
      <c r="IA76" t="e">
        <f>AND(#REF!,"AAAAAHXq3+o=")</f>
        <v>#REF!</v>
      </c>
      <c r="IB76" t="e">
        <f>AND(#REF!,"AAAAAHXq3+s=")</f>
        <v>#REF!</v>
      </c>
      <c r="IC76" t="e">
        <f>AND(#REF!,"AAAAAHXq3+w=")</f>
        <v>#REF!</v>
      </c>
      <c r="ID76" t="e">
        <f>AND(#REF!,"AAAAAHXq3+0=")</f>
        <v>#REF!</v>
      </c>
      <c r="IE76" t="e">
        <f>AND(#REF!,"AAAAAHXq3+4=")</f>
        <v>#REF!</v>
      </c>
      <c r="IF76" t="e">
        <f>AND(#REF!,"AAAAAHXq3+8=")</f>
        <v>#REF!</v>
      </c>
      <c r="IG76" t="e">
        <f>AND(#REF!,"AAAAAHXq3/A=")</f>
        <v>#REF!</v>
      </c>
      <c r="IH76" t="e">
        <f>AND(#REF!,"AAAAAHXq3/E=")</f>
        <v>#REF!</v>
      </c>
      <c r="II76" t="e">
        <f>AND(#REF!,"AAAAAHXq3/I=")</f>
        <v>#REF!</v>
      </c>
      <c r="IJ76" t="e">
        <f>AND(#REF!,"AAAAAHXq3/M=")</f>
        <v>#REF!</v>
      </c>
      <c r="IK76" t="e">
        <f>AND(#REF!,"AAAAAHXq3/Q=")</f>
        <v>#REF!</v>
      </c>
      <c r="IL76" t="e">
        <f>AND(#REF!,"AAAAAHXq3/U=")</f>
        <v>#REF!</v>
      </c>
      <c r="IM76" t="e">
        <f>AND(#REF!,"AAAAAHXq3/Y=")</f>
        <v>#REF!</v>
      </c>
      <c r="IN76" t="e">
        <f>AND(#REF!,"AAAAAHXq3/c=")</f>
        <v>#REF!</v>
      </c>
      <c r="IO76" t="e">
        <f>AND(#REF!,"AAAAAHXq3/g=")</f>
        <v>#REF!</v>
      </c>
      <c r="IP76" t="e">
        <f>AND(#REF!,"AAAAAHXq3/k=")</f>
        <v>#REF!</v>
      </c>
      <c r="IQ76" t="e">
        <f>AND(#REF!,"AAAAAHXq3/o=")</f>
        <v>#REF!</v>
      </c>
      <c r="IR76" t="e">
        <f>AND(#REF!,"AAAAAHXq3/s=")</f>
        <v>#REF!</v>
      </c>
      <c r="IS76" t="e">
        <f>AND(#REF!,"AAAAAHXq3/w=")</f>
        <v>#REF!</v>
      </c>
      <c r="IT76" t="e">
        <f>AND(#REF!,"AAAAAHXq3/0=")</f>
        <v>#REF!</v>
      </c>
      <c r="IU76" t="e">
        <f>AND(#REF!,"AAAAAHXq3/4=")</f>
        <v>#REF!</v>
      </c>
      <c r="IV76" t="e">
        <f>AND(#REF!,"AAAAAHXq3/8=")</f>
        <v>#REF!</v>
      </c>
    </row>
    <row r="77" spans="1:256" x14ac:dyDescent="0.2">
      <c r="A77" t="e">
        <f>AND(#REF!,"AAAAAGNrXQA=")</f>
        <v>#REF!</v>
      </c>
      <c r="B77" t="e">
        <f>AND(#REF!,"AAAAAGNrXQE=")</f>
        <v>#REF!</v>
      </c>
      <c r="C77" t="e">
        <f>AND(#REF!,"AAAAAGNrXQI=")</f>
        <v>#REF!</v>
      </c>
      <c r="D77" t="e">
        <f>AND(#REF!,"AAAAAGNrXQM=")</f>
        <v>#REF!</v>
      </c>
      <c r="E77" t="e">
        <f>AND(#REF!,"AAAAAGNrXQQ=")</f>
        <v>#REF!</v>
      </c>
      <c r="F77" t="e">
        <f>AND(#REF!,"AAAAAGNrXQU=")</f>
        <v>#REF!</v>
      </c>
      <c r="G77" t="e">
        <f>AND(#REF!,"AAAAAGNrXQY=")</f>
        <v>#REF!</v>
      </c>
      <c r="H77" t="e">
        <f>AND(#REF!,"AAAAAGNrXQc=")</f>
        <v>#REF!</v>
      </c>
      <c r="I77" t="e">
        <f>AND(#REF!,"AAAAAGNrXQg=")</f>
        <v>#REF!</v>
      </c>
      <c r="J77" t="e">
        <f>AND(#REF!,"AAAAAGNrXQk=")</f>
        <v>#REF!</v>
      </c>
      <c r="K77" t="e">
        <f>AND(#REF!,"AAAAAGNrXQo=")</f>
        <v>#REF!</v>
      </c>
      <c r="L77" t="e">
        <f>AND(#REF!,"AAAAAGNrXQs=")</f>
        <v>#REF!</v>
      </c>
      <c r="M77" t="e">
        <f>AND(#REF!,"AAAAAGNrXQw=")</f>
        <v>#REF!</v>
      </c>
      <c r="N77" t="e">
        <f>AND(#REF!,"AAAAAGNrXQ0=")</f>
        <v>#REF!</v>
      </c>
      <c r="O77" t="e">
        <f>AND(#REF!,"AAAAAGNrXQ4=")</f>
        <v>#REF!</v>
      </c>
      <c r="P77" t="e">
        <f>AND(#REF!,"AAAAAGNrXQ8=")</f>
        <v>#REF!</v>
      </c>
      <c r="Q77" t="e">
        <f>AND(#REF!,"AAAAAGNrXRA=")</f>
        <v>#REF!</v>
      </c>
      <c r="R77" t="e">
        <f>AND(#REF!,"AAAAAGNrXRE=")</f>
        <v>#REF!</v>
      </c>
      <c r="S77" t="e">
        <f>AND(#REF!,"AAAAAGNrXRI=")</f>
        <v>#REF!</v>
      </c>
      <c r="T77" t="e">
        <f>AND(#REF!,"AAAAAGNrXRM=")</f>
        <v>#REF!</v>
      </c>
      <c r="U77" t="e">
        <f>AND(#REF!,"AAAAAGNrXRQ=")</f>
        <v>#REF!</v>
      </c>
      <c r="V77" t="e">
        <f>AND(#REF!,"AAAAAGNrXRU=")</f>
        <v>#REF!</v>
      </c>
      <c r="W77" t="e">
        <f>AND(#REF!,"AAAAAGNrXRY=")</f>
        <v>#REF!</v>
      </c>
      <c r="X77" t="e">
        <f>AND(#REF!,"AAAAAGNrXRc=")</f>
        <v>#REF!</v>
      </c>
      <c r="Y77" t="e">
        <f>AND(#REF!,"AAAAAGNrXRg=")</f>
        <v>#REF!</v>
      </c>
      <c r="Z77" t="e">
        <f>AND(#REF!,"AAAAAGNrXRk=")</f>
        <v>#REF!</v>
      </c>
      <c r="AA77" t="e">
        <f>AND(#REF!,"AAAAAGNrXRo=")</f>
        <v>#REF!</v>
      </c>
      <c r="AB77" t="e">
        <f>AND(#REF!,"AAAAAGNrXRs=")</f>
        <v>#REF!</v>
      </c>
      <c r="AC77" t="e">
        <f>AND(#REF!,"AAAAAGNrXRw=")</f>
        <v>#REF!</v>
      </c>
      <c r="AD77" t="e">
        <f>AND(#REF!,"AAAAAGNrXR0=")</f>
        <v>#REF!</v>
      </c>
      <c r="AE77" t="e">
        <f>AND(#REF!,"AAAAAGNrXR4=")</f>
        <v>#REF!</v>
      </c>
      <c r="AF77" t="e">
        <f>AND(#REF!,"AAAAAGNrXR8=")</f>
        <v>#REF!</v>
      </c>
      <c r="AG77" t="e">
        <f>AND(#REF!,"AAAAAGNrXSA=")</f>
        <v>#REF!</v>
      </c>
      <c r="AH77" t="e">
        <f>AND(#REF!,"AAAAAGNrXSE=")</f>
        <v>#REF!</v>
      </c>
      <c r="AI77" t="e">
        <f>AND(#REF!,"AAAAAGNrXSI=")</f>
        <v>#REF!</v>
      </c>
      <c r="AJ77" t="e">
        <f>AND(#REF!,"AAAAAGNrXSM=")</f>
        <v>#REF!</v>
      </c>
      <c r="AK77" t="e">
        <f>AND(#REF!,"AAAAAGNrXSQ=")</f>
        <v>#REF!</v>
      </c>
      <c r="AL77" t="e">
        <f>AND(#REF!,"AAAAAGNrXSU=")</f>
        <v>#REF!</v>
      </c>
      <c r="AM77" t="e">
        <f>AND(#REF!,"AAAAAGNrXSY=")</f>
        <v>#REF!</v>
      </c>
      <c r="AN77" t="e">
        <f>AND(#REF!,"AAAAAGNrXSc=")</f>
        <v>#REF!</v>
      </c>
      <c r="AO77" t="e">
        <f>AND(#REF!,"AAAAAGNrXSg=")</f>
        <v>#REF!</v>
      </c>
      <c r="AP77" t="e">
        <f>AND(#REF!,"AAAAAGNrXSk=")</f>
        <v>#REF!</v>
      </c>
      <c r="AQ77" t="e">
        <f>AND(#REF!,"AAAAAGNrXSo=")</f>
        <v>#REF!</v>
      </c>
      <c r="AR77" t="e">
        <f>AND(#REF!,"AAAAAGNrXSs=")</f>
        <v>#REF!</v>
      </c>
      <c r="AS77" t="e">
        <f>IF(#REF!,"AAAAAGNrXSw=",0)</f>
        <v>#REF!</v>
      </c>
      <c r="AT77" t="e">
        <f>AND(#REF!,"AAAAAGNrXS0=")</f>
        <v>#REF!</v>
      </c>
      <c r="AU77" t="e">
        <f>AND(#REF!,"AAAAAGNrXS4=")</f>
        <v>#REF!</v>
      </c>
      <c r="AV77" t="e">
        <f>AND(#REF!,"AAAAAGNrXS8=")</f>
        <v>#REF!</v>
      </c>
      <c r="AW77" t="e">
        <f>AND(#REF!,"AAAAAGNrXTA=")</f>
        <v>#REF!</v>
      </c>
      <c r="AX77" t="e">
        <f>AND(#REF!,"AAAAAGNrXTE=")</f>
        <v>#REF!</v>
      </c>
      <c r="AY77" t="e">
        <f>AND(#REF!,"AAAAAGNrXTI=")</f>
        <v>#REF!</v>
      </c>
      <c r="AZ77" t="e">
        <f>AND(#REF!,"AAAAAGNrXTM=")</f>
        <v>#REF!</v>
      </c>
      <c r="BA77" t="e">
        <f>AND(#REF!,"AAAAAGNrXTQ=")</f>
        <v>#REF!</v>
      </c>
      <c r="BB77" t="e">
        <f>AND(#REF!,"AAAAAGNrXTU=")</f>
        <v>#REF!</v>
      </c>
      <c r="BC77" t="e">
        <f>AND(#REF!,"AAAAAGNrXTY=")</f>
        <v>#REF!</v>
      </c>
      <c r="BD77" t="e">
        <f>AND(#REF!,"AAAAAGNrXTc=")</f>
        <v>#REF!</v>
      </c>
      <c r="BE77" t="e">
        <f>AND(#REF!,"AAAAAGNrXTg=")</f>
        <v>#REF!</v>
      </c>
      <c r="BF77" t="e">
        <f>AND(#REF!,"AAAAAGNrXTk=")</f>
        <v>#REF!</v>
      </c>
      <c r="BG77" t="e">
        <f>AND(#REF!,"AAAAAGNrXTo=")</f>
        <v>#REF!</v>
      </c>
      <c r="BH77" t="e">
        <f>AND(#REF!,"AAAAAGNrXTs=")</f>
        <v>#REF!</v>
      </c>
      <c r="BI77" t="e">
        <f>AND(#REF!,"AAAAAGNrXTw=")</f>
        <v>#REF!</v>
      </c>
      <c r="BJ77" t="e">
        <f>AND(#REF!,"AAAAAGNrXT0=")</f>
        <v>#REF!</v>
      </c>
      <c r="BK77" t="e">
        <f>AND(#REF!,"AAAAAGNrXT4=")</f>
        <v>#REF!</v>
      </c>
      <c r="BL77" t="e">
        <f>AND(#REF!,"AAAAAGNrXT8=")</f>
        <v>#REF!</v>
      </c>
      <c r="BM77" t="e">
        <f>AND(#REF!,"AAAAAGNrXUA=")</f>
        <v>#REF!</v>
      </c>
      <c r="BN77" t="e">
        <f>AND(#REF!,"AAAAAGNrXUE=")</f>
        <v>#REF!</v>
      </c>
      <c r="BO77" t="e">
        <f>AND(#REF!,"AAAAAGNrXUI=")</f>
        <v>#REF!</v>
      </c>
      <c r="BP77" t="e">
        <f>AND(#REF!,"AAAAAGNrXUM=")</f>
        <v>#REF!</v>
      </c>
      <c r="BQ77" t="e">
        <f>AND(#REF!,"AAAAAGNrXUQ=")</f>
        <v>#REF!</v>
      </c>
      <c r="BR77" t="e">
        <f>AND(#REF!,"AAAAAGNrXUU=")</f>
        <v>#REF!</v>
      </c>
      <c r="BS77" t="e">
        <f>AND(#REF!,"AAAAAGNrXUY=")</f>
        <v>#REF!</v>
      </c>
      <c r="BT77" t="e">
        <f>AND(#REF!,"AAAAAGNrXUc=")</f>
        <v>#REF!</v>
      </c>
      <c r="BU77" t="e">
        <f>AND(#REF!,"AAAAAGNrXUg=")</f>
        <v>#REF!</v>
      </c>
      <c r="BV77" t="e">
        <f>AND(#REF!,"AAAAAGNrXUk=")</f>
        <v>#REF!</v>
      </c>
      <c r="BW77" t="e">
        <f>AND(#REF!,"AAAAAGNrXUo=")</f>
        <v>#REF!</v>
      </c>
      <c r="BX77" t="e">
        <f>AND(#REF!,"AAAAAGNrXUs=")</f>
        <v>#REF!</v>
      </c>
      <c r="BY77" t="e">
        <f>AND(#REF!,"AAAAAGNrXUw=")</f>
        <v>#REF!</v>
      </c>
      <c r="BZ77" t="e">
        <f>AND(#REF!,"AAAAAGNrXU0=")</f>
        <v>#REF!</v>
      </c>
      <c r="CA77" t="e">
        <f>AND(#REF!,"AAAAAGNrXU4=")</f>
        <v>#REF!</v>
      </c>
      <c r="CB77" t="e">
        <f>AND(#REF!,"AAAAAGNrXU8=")</f>
        <v>#REF!</v>
      </c>
      <c r="CC77" t="e">
        <f>AND(#REF!,"AAAAAGNrXVA=")</f>
        <v>#REF!</v>
      </c>
      <c r="CD77" t="e">
        <f>AND(#REF!,"AAAAAGNrXVE=")</f>
        <v>#REF!</v>
      </c>
      <c r="CE77" t="e">
        <f>AND(#REF!,"AAAAAGNrXVI=")</f>
        <v>#REF!</v>
      </c>
      <c r="CF77" t="e">
        <f>AND(#REF!,"AAAAAGNrXVM=")</f>
        <v>#REF!</v>
      </c>
      <c r="CG77" t="e">
        <f>AND(#REF!,"AAAAAGNrXVQ=")</f>
        <v>#REF!</v>
      </c>
      <c r="CH77" t="e">
        <f>AND(#REF!,"AAAAAGNrXVU=")</f>
        <v>#REF!</v>
      </c>
      <c r="CI77" t="e">
        <f>AND(#REF!,"AAAAAGNrXVY=")</f>
        <v>#REF!</v>
      </c>
      <c r="CJ77" t="e">
        <f>AND(#REF!,"AAAAAGNrXVc=")</f>
        <v>#REF!</v>
      </c>
      <c r="CK77" t="e">
        <f>AND(#REF!,"AAAAAGNrXVg=")</f>
        <v>#REF!</v>
      </c>
      <c r="CL77" t="e">
        <f>AND(#REF!,"AAAAAGNrXVk=")</f>
        <v>#REF!</v>
      </c>
      <c r="CM77" t="e">
        <f>AND(#REF!,"AAAAAGNrXVo=")</f>
        <v>#REF!</v>
      </c>
      <c r="CN77" t="e">
        <f>AND(#REF!,"AAAAAGNrXVs=")</f>
        <v>#REF!</v>
      </c>
      <c r="CO77" t="e">
        <f>AND(#REF!,"AAAAAGNrXVw=")</f>
        <v>#REF!</v>
      </c>
      <c r="CP77" t="e">
        <f>AND(#REF!,"AAAAAGNrXV0=")</f>
        <v>#REF!</v>
      </c>
      <c r="CQ77" t="e">
        <f>AND(#REF!,"AAAAAGNrXV4=")</f>
        <v>#REF!</v>
      </c>
      <c r="CR77" t="e">
        <f>AND(#REF!,"AAAAAGNrXV8=")</f>
        <v>#REF!</v>
      </c>
      <c r="CS77" t="e">
        <f>AND(#REF!,"AAAAAGNrXWA=")</f>
        <v>#REF!</v>
      </c>
      <c r="CT77" t="e">
        <f>AND(#REF!,"AAAAAGNrXWE=")</f>
        <v>#REF!</v>
      </c>
      <c r="CU77" t="e">
        <f>AND(#REF!,"AAAAAGNrXWI=")</f>
        <v>#REF!</v>
      </c>
      <c r="CV77" t="e">
        <f>AND(#REF!,"AAAAAGNrXWM=")</f>
        <v>#REF!</v>
      </c>
      <c r="CW77" t="e">
        <f>AND(#REF!,"AAAAAGNrXWQ=")</f>
        <v>#REF!</v>
      </c>
      <c r="CX77" t="e">
        <f>AND(#REF!,"AAAAAGNrXWU=")</f>
        <v>#REF!</v>
      </c>
      <c r="CY77" t="e">
        <f>AND(#REF!,"AAAAAGNrXWY=")</f>
        <v>#REF!</v>
      </c>
      <c r="CZ77" t="e">
        <f>AND(#REF!,"AAAAAGNrXWc=")</f>
        <v>#REF!</v>
      </c>
      <c r="DA77" t="e">
        <f>AND(#REF!,"AAAAAGNrXWg=")</f>
        <v>#REF!</v>
      </c>
      <c r="DB77" t="e">
        <f>AND(#REF!,"AAAAAGNrXWk=")</f>
        <v>#REF!</v>
      </c>
      <c r="DC77" t="e">
        <f>AND(#REF!,"AAAAAGNrXWo=")</f>
        <v>#REF!</v>
      </c>
      <c r="DD77" t="e">
        <f>AND(#REF!,"AAAAAGNrXWs=")</f>
        <v>#REF!</v>
      </c>
      <c r="DE77" t="e">
        <f>AND(#REF!,"AAAAAGNrXWw=")</f>
        <v>#REF!</v>
      </c>
      <c r="DF77" t="e">
        <f>AND(#REF!,"AAAAAGNrXW0=")</f>
        <v>#REF!</v>
      </c>
      <c r="DG77" t="e">
        <f>AND(#REF!,"AAAAAGNrXW4=")</f>
        <v>#REF!</v>
      </c>
      <c r="DH77" t="e">
        <f>AND(#REF!,"AAAAAGNrXW8=")</f>
        <v>#REF!</v>
      </c>
      <c r="DI77" t="e">
        <f>AND(#REF!,"AAAAAGNrXXA=")</f>
        <v>#REF!</v>
      </c>
      <c r="DJ77" t="e">
        <f>AND(#REF!,"AAAAAGNrXXE=")</f>
        <v>#REF!</v>
      </c>
      <c r="DK77" t="e">
        <f>AND(#REF!,"AAAAAGNrXXI=")</f>
        <v>#REF!</v>
      </c>
      <c r="DL77" t="e">
        <f>AND(#REF!,"AAAAAGNrXXM=")</f>
        <v>#REF!</v>
      </c>
      <c r="DM77" t="e">
        <f>AND(#REF!,"AAAAAGNrXXQ=")</f>
        <v>#REF!</v>
      </c>
      <c r="DN77" t="e">
        <f>AND(#REF!,"AAAAAGNrXXU=")</f>
        <v>#REF!</v>
      </c>
      <c r="DO77" t="e">
        <f>AND(#REF!,"AAAAAGNrXXY=")</f>
        <v>#REF!</v>
      </c>
      <c r="DP77" t="e">
        <f>IF(#REF!,"AAAAAGNrXXc=",0)</f>
        <v>#REF!</v>
      </c>
      <c r="DQ77" t="e">
        <f>AND(#REF!,"AAAAAGNrXXg=")</f>
        <v>#REF!</v>
      </c>
      <c r="DR77" t="e">
        <f>AND(#REF!,"AAAAAGNrXXk=")</f>
        <v>#REF!</v>
      </c>
      <c r="DS77" t="e">
        <f>AND(#REF!,"AAAAAGNrXXo=")</f>
        <v>#REF!</v>
      </c>
      <c r="DT77" t="e">
        <f>AND(#REF!,"AAAAAGNrXXs=")</f>
        <v>#REF!</v>
      </c>
      <c r="DU77" t="e">
        <f>AND(#REF!,"AAAAAGNrXXw=")</f>
        <v>#REF!</v>
      </c>
      <c r="DV77" t="e">
        <f>AND(#REF!,"AAAAAGNrXX0=")</f>
        <v>#REF!</v>
      </c>
      <c r="DW77" t="e">
        <f>AND(#REF!,"AAAAAGNrXX4=")</f>
        <v>#REF!</v>
      </c>
      <c r="DX77" t="e">
        <f>AND(#REF!,"AAAAAGNrXX8=")</f>
        <v>#REF!</v>
      </c>
      <c r="DY77" t="e">
        <f>AND(#REF!,"AAAAAGNrXYA=")</f>
        <v>#REF!</v>
      </c>
      <c r="DZ77" t="e">
        <f>AND(#REF!,"AAAAAGNrXYE=")</f>
        <v>#REF!</v>
      </c>
      <c r="EA77" t="e">
        <f>AND(#REF!,"AAAAAGNrXYI=")</f>
        <v>#REF!</v>
      </c>
      <c r="EB77" t="e">
        <f>AND(#REF!,"AAAAAGNrXYM=")</f>
        <v>#REF!</v>
      </c>
      <c r="EC77" t="e">
        <f>AND(#REF!,"AAAAAGNrXYQ=")</f>
        <v>#REF!</v>
      </c>
      <c r="ED77" t="e">
        <f>AND(#REF!,"AAAAAGNrXYU=")</f>
        <v>#REF!</v>
      </c>
      <c r="EE77" t="e">
        <f>AND(#REF!,"AAAAAGNrXYY=")</f>
        <v>#REF!</v>
      </c>
      <c r="EF77" t="e">
        <f>AND(#REF!,"AAAAAGNrXYc=")</f>
        <v>#REF!</v>
      </c>
      <c r="EG77" t="e">
        <f>AND(#REF!,"AAAAAGNrXYg=")</f>
        <v>#REF!</v>
      </c>
      <c r="EH77" t="e">
        <f>AND(#REF!,"AAAAAGNrXYk=")</f>
        <v>#REF!</v>
      </c>
      <c r="EI77" t="e">
        <f>AND(#REF!,"AAAAAGNrXYo=")</f>
        <v>#REF!</v>
      </c>
      <c r="EJ77" t="e">
        <f>AND(#REF!,"AAAAAGNrXYs=")</f>
        <v>#REF!</v>
      </c>
      <c r="EK77" t="e">
        <f>AND(#REF!,"AAAAAGNrXYw=")</f>
        <v>#REF!</v>
      </c>
      <c r="EL77" t="e">
        <f>AND(#REF!,"AAAAAGNrXY0=")</f>
        <v>#REF!</v>
      </c>
      <c r="EM77" t="e">
        <f>AND(#REF!,"AAAAAGNrXY4=")</f>
        <v>#REF!</v>
      </c>
      <c r="EN77" t="e">
        <f>AND(#REF!,"AAAAAGNrXY8=")</f>
        <v>#REF!</v>
      </c>
      <c r="EO77" t="e">
        <f>AND(#REF!,"AAAAAGNrXZA=")</f>
        <v>#REF!</v>
      </c>
      <c r="EP77" t="e">
        <f>AND(#REF!,"AAAAAGNrXZE=")</f>
        <v>#REF!</v>
      </c>
      <c r="EQ77" t="e">
        <f>AND(#REF!,"AAAAAGNrXZI=")</f>
        <v>#REF!</v>
      </c>
      <c r="ER77" t="e">
        <f>AND(#REF!,"AAAAAGNrXZM=")</f>
        <v>#REF!</v>
      </c>
      <c r="ES77" t="e">
        <f>AND(#REF!,"AAAAAGNrXZQ=")</f>
        <v>#REF!</v>
      </c>
      <c r="ET77" t="e">
        <f>AND(#REF!,"AAAAAGNrXZU=")</f>
        <v>#REF!</v>
      </c>
      <c r="EU77" t="e">
        <f>AND(#REF!,"AAAAAGNrXZY=")</f>
        <v>#REF!</v>
      </c>
      <c r="EV77" t="e">
        <f>AND(#REF!,"AAAAAGNrXZc=")</f>
        <v>#REF!</v>
      </c>
      <c r="EW77" t="e">
        <f>AND(#REF!,"AAAAAGNrXZg=")</f>
        <v>#REF!</v>
      </c>
      <c r="EX77" t="e">
        <f>AND(#REF!,"AAAAAGNrXZk=")</f>
        <v>#REF!</v>
      </c>
      <c r="EY77" t="e">
        <f>AND(#REF!,"AAAAAGNrXZo=")</f>
        <v>#REF!</v>
      </c>
      <c r="EZ77" t="e">
        <f>AND(#REF!,"AAAAAGNrXZs=")</f>
        <v>#REF!</v>
      </c>
      <c r="FA77" t="e">
        <f>AND(#REF!,"AAAAAGNrXZw=")</f>
        <v>#REF!</v>
      </c>
      <c r="FB77" t="e">
        <f>AND(#REF!,"AAAAAGNrXZ0=")</f>
        <v>#REF!</v>
      </c>
      <c r="FC77" t="e">
        <f>AND(#REF!,"AAAAAGNrXZ4=")</f>
        <v>#REF!</v>
      </c>
      <c r="FD77" t="e">
        <f>AND(#REF!,"AAAAAGNrXZ8=")</f>
        <v>#REF!</v>
      </c>
      <c r="FE77" t="e">
        <f>AND(#REF!,"AAAAAGNrXaA=")</f>
        <v>#REF!</v>
      </c>
      <c r="FF77" t="e">
        <f>AND(#REF!,"AAAAAGNrXaE=")</f>
        <v>#REF!</v>
      </c>
      <c r="FG77" t="e">
        <f>AND(#REF!,"AAAAAGNrXaI=")</f>
        <v>#REF!</v>
      </c>
      <c r="FH77" t="e">
        <f>AND(#REF!,"AAAAAGNrXaM=")</f>
        <v>#REF!</v>
      </c>
      <c r="FI77" t="e">
        <f>AND(#REF!,"AAAAAGNrXaQ=")</f>
        <v>#REF!</v>
      </c>
      <c r="FJ77" t="e">
        <f>AND(#REF!,"AAAAAGNrXaU=")</f>
        <v>#REF!</v>
      </c>
      <c r="FK77" t="e">
        <f>AND(#REF!,"AAAAAGNrXaY=")</f>
        <v>#REF!</v>
      </c>
      <c r="FL77" t="e">
        <f>AND(#REF!,"AAAAAGNrXac=")</f>
        <v>#REF!</v>
      </c>
      <c r="FM77" t="e">
        <f>AND(#REF!,"AAAAAGNrXag=")</f>
        <v>#REF!</v>
      </c>
      <c r="FN77" t="e">
        <f>AND(#REF!,"AAAAAGNrXak=")</f>
        <v>#REF!</v>
      </c>
      <c r="FO77" t="e">
        <f>AND(#REF!,"AAAAAGNrXao=")</f>
        <v>#REF!</v>
      </c>
      <c r="FP77" t="e">
        <f>AND(#REF!,"AAAAAGNrXas=")</f>
        <v>#REF!</v>
      </c>
      <c r="FQ77" t="e">
        <f>AND(#REF!,"AAAAAGNrXaw=")</f>
        <v>#REF!</v>
      </c>
      <c r="FR77" t="e">
        <f>AND(#REF!,"AAAAAGNrXa0=")</f>
        <v>#REF!</v>
      </c>
      <c r="FS77" t="e">
        <f>AND(#REF!,"AAAAAGNrXa4=")</f>
        <v>#REF!</v>
      </c>
      <c r="FT77" t="e">
        <f>AND(#REF!,"AAAAAGNrXa8=")</f>
        <v>#REF!</v>
      </c>
      <c r="FU77" t="e">
        <f>AND(#REF!,"AAAAAGNrXbA=")</f>
        <v>#REF!</v>
      </c>
      <c r="FV77" t="e">
        <f>AND(#REF!,"AAAAAGNrXbE=")</f>
        <v>#REF!</v>
      </c>
      <c r="FW77" t="e">
        <f>AND(#REF!,"AAAAAGNrXbI=")</f>
        <v>#REF!</v>
      </c>
      <c r="FX77" t="e">
        <f>AND(#REF!,"AAAAAGNrXbM=")</f>
        <v>#REF!</v>
      </c>
      <c r="FY77" t="e">
        <f>AND(#REF!,"AAAAAGNrXbQ=")</f>
        <v>#REF!</v>
      </c>
      <c r="FZ77" t="e">
        <f>AND(#REF!,"AAAAAGNrXbU=")</f>
        <v>#REF!</v>
      </c>
      <c r="GA77" t="e">
        <f>AND(#REF!,"AAAAAGNrXbY=")</f>
        <v>#REF!</v>
      </c>
      <c r="GB77" t="e">
        <f>AND(#REF!,"AAAAAGNrXbc=")</f>
        <v>#REF!</v>
      </c>
      <c r="GC77" t="e">
        <f>AND(#REF!,"AAAAAGNrXbg=")</f>
        <v>#REF!</v>
      </c>
      <c r="GD77" t="e">
        <f>AND(#REF!,"AAAAAGNrXbk=")</f>
        <v>#REF!</v>
      </c>
      <c r="GE77" t="e">
        <f>AND(#REF!,"AAAAAGNrXbo=")</f>
        <v>#REF!</v>
      </c>
      <c r="GF77" t="e">
        <f>AND(#REF!,"AAAAAGNrXbs=")</f>
        <v>#REF!</v>
      </c>
      <c r="GG77" t="e">
        <f>AND(#REF!,"AAAAAGNrXbw=")</f>
        <v>#REF!</v>
      </c>
      <c r="GH77" t="e">
        <f>AND(#REF!,"AAAAAGNrXb0=")</f>
        <v>#REF!</v>
      </c>
      <c r="GI77" t="e">
        <f>AND(#REF!,"AAAAAGNrXb4=")</f>
        <v>#REF!</v>
      </c>
      <c r="GJ77" t="e">
        <f>AND(#REF!,"AAAAAGNrXb8=")</f>
        <v>#REF!</v>
      </c>
      <c r="GK77" t="e">
        <f>AND(#REF!,"AAAAAGNrXcA=")</f>
        <v>#REF!</v>
      </c>
      <c r="GL77" t="e">
        <f>AND(#REF!,"AAAAAGNrXcE=")</f>
        <v>#REF!</v>
      </c>
      <c r="GM77" t="e">
        <f>IF(#REF!,"AAAAAGNrXcI=",0)</f>
        <v>#REF!</v>
      </c>
      <c r="GN77" t="e">
        <f>AND(#REF!,"AAAAAGNrXcM=")</f>
        <v>#REF!</v>
      </c>
      <c r="GO77" t="e">
        <f>AND(#REF!,"AAAAAGNrXcQ=")</f>
        <v>#REF!</v>
      </c>
      <c r="GP77" t="e">
        <f>AND(#REF!,"AAAAAGNrXcU=")</f>
        <v>#REF!</v>
      </c>
      <c r="GQ77" t="e">
        <f>AND(#REF!,"AAAAAGNrXcY=")</f>
        <v>#REF!</v>
      </c>
      <c r="GR77" t="e">
        <f>AND(#REF!,"AAAAAGNrXcc=")</f>
        <v>#REF!</v>
      </c>
      <c r="GS77" t="e">
        <f>AND(#REF!,"AAAAAGNrXcg=")</f>
        <v>#REF!</v>
      </c>
      <c r="GT77" t="e">
        <f>AND(#REF!,"AAAAAGNrXck=")</f>
        <v>#REF!</v>
      </c>
      <c r="GU77" t="e">
        <f>AND(#REF!,"AAAAAGNrXco=")</f>
        <v>#REF!</v>
      </c>
      <c r="GV77" t="e">
        <f>AND(#REF!,"AAAAAGNrXcs=")</f>
        <v>#REF!</v>
      </c>
      <c r="GW77" t="e">
        <f>AND(#REF!,"AAAAAGNrXcw=")</f>
        <v>#REF!</v>
      </c>
      <c r="GX77" t="e">
        <f>AND(#REF!,"AAAAAGNrXc0=")</f>
        <v>#REF!</v>
      </c>
      <c r="GY77" t="e">
        <f>AND(#REF!,"AAAAAGNrXc4=")</f>
        <v>#REF!</v>
      </c>
      <c r="GZ77" t="e">
        <f>AND(#REF!,"AAAAAGNrXc8=")</f>
        <v>#REF!</v>
      </c>
      <c r="HA77" t="e">
        <f>AND(#REF!,"AAAAAGNrXdA=")</f>
        <v>#REF!</v>
      </c>
      <c r="HB77" t="e">
        <f>AND(#REF!,"AAAAAGNrXdE=")</f>
        <v>#REF!</v>
      </c>
      <c r="HC77" t="e">
        <f>AND(#REF!,"AAAAAGNrXdI=")</f>
        <v>#REF!</v>
      </c>
      <c r="HD77" t="e">
        <f>AND(#REF!,"AAAAAGNrXdM=")</f>
        <v>#REF!</v>
      </c>
      <c r="HE77" t="e">
        <f>AND(#REF!,"AAAAAGNrXdQ=")</f>
        <v>#REF!</v>
      </c>
      <c r="HF77" t="e">
        <f>AND(#REF!,"AAAAAGNrXdU=")</f>
        <v>#REF!</v>
      </c>
      <c r="HG77" t="e">
        <f>AND(#REF!,"AAAAAGNrXdY=")</f>
        <v>#REF!</v>
      </c>
      <c r="HH77" t="e">
        <f>AND(#REF!,"AAAAAGNrXdc=")</f>
        <v>#REF!</v>
      </c>
      <c r="HI77" t="e">
        <f>AND(#REF!,"AAAAAGNrXdg=")</f>
        <v>#REF!</v>
      </c>
      <c r="HJ77" t="e">
        <f>AND(#REF!,"AAAAAGNrXdk=")</f>
        <v>#REF!</v>
      </c>
      <c r="HK77" t="e">
        <f>AND(#REF!,"AAAAAGNrXdo=")</f>
        <v>#REF!</v>
      </c>
      <c r="HL77" t="e">
        <f>AND(#REF!,"AAAAAGNrXds=")</f>
        <v>#REF!</v>
      </c>
      <c r="HM77" t="e">
        <f>AND(#REF!,"AAAAAGNrXdw=")</f>
        <v>#REF!</v>
      </c>
      <c r="HN77" t="e">
        <f>AND(#REF!,"AAAAAGNrXd0=")</f>
        <v>#REF!</v>
      </c>
      <c r="HO77" t="e">
        <f>AND(#REF!,"AAAAAGNrXd4=")</f>
        <v>#REF!</v>
      </c>
      <c r="HP77" t="e">
        <f>AND(#REF!,"AAAAAGNrXd8=")</f>
        <v>#REF!</v>
      </c>
      <c r="HQ77" t="e">
        <f>AND(#REF!,"AAAAAGNrXeA=")</f>
        <v>#REF!</v>
      </c>
      <c r="HR77" t="e">
        <f>AND(#REF!,"AAAAAGNrXeE=")</f>
        <v>#REF!</v>
      </c>
      <c r="HS77" t="e">
        <f>AND(#REF!,"AAAAAGNrXeI=")</f>
        <v>#REF!</v>
      </c>
      <c r="HT77" t="e">
        <f>AND(#REF!,"AAAAAGNrXeM=")</f>
        <v>#REF!</v>
      </c>
      <c r="HU77" t="e">
        <f>AND(#REF!,"AAAAAGNrXeQ=")</f>
        <v>#REF!</v>
      </c>
      <c r="HV77" t="e">
        <f>AND(#REF!,"AAAAAGNrXeU=")</f>
        <v>#REF!</v>
      </c>
      <c r="HW77" t="e">
        <f>AND(#REF!,"AAAAAGNrXeY=")</f>
        <v>#REF!</v>
      </c>
      <c r="HX77" t="e">
        <f>AND(#REF!,"AAAAAGNrXec=")</f>
        <v>#REF!</v>
      </c>
      <c r="HY77" t="e">
        <f>AND(#REF!,"AAAAAGNrXeg=")</f>
        <v>#REF!</v>
      </c>
      <c r="HZ77" t="e">
        <f>AND(#REF!,"AAAAAGNrXek=")</f>
        <v>#REF!</v>
      </c>
      <c r="IA77" t="e">
        <f>AND(#REF!,"AAAAAGNrXeo=")</f>
        <v>#REF!</v>
      </c>
      <c r="IB77" t="e">
        <f>AND(#REF!,"AAAAAGNrXes=")</f>
        <v>#REF!</v>
      </c>
      <c r="IC77" t="e">
        <f>AND(#REF!,"AAAAAGNrXew=")</f>
        <v>#REF!</v>
      </c>
      <c r="ID77" t="e">
        <f>AND(#REF!,"AAAAAGNrXe0=")</f>
        <v>#REF!</v>
      </c>
      <c r="IE77" t="e">
        <f>AND(#REF!,"AAAAAGNrXe4=")</f>
        <v>#REF!</v>
      </c>
      <c r="IF77" t="e">
        <f>AND(#REF!,"AAAAAGNrXe8=")</f>
        <v>#REF!</v>
      </c>
      <c r="IG77" t="e">
        <f>AND(#REF!,"AAAAAGNrXfA=")</f>
        <v>#REF!</v>
      </c>
      <c r="IH77" t="e">
        <f>AND(#REF!,"AAAAAGNrXfE=")</f>
        <v>#REF!</v>
      </c>
      <c r="II77" t="e">
        <f>AND(#REF!,"AAAAAGNrXfI=")</f>
        <v>#REF!</v>
      </c>
      <c r="IJ77" t="e">
        <f>AND(#REF!,"AAAAAGNrXfM=")</f>
        <v>#REF!</v>
      </c>
      <c r="IK77" t="e">
        <f>AND(#REF!,"AAAAAGNrXfQ=")</f>
        <v>#REF!</v>
      </c>
      <c r="IL77" t="e">
        <f>AND(#REF!,"AAAAAGNrXfU=")</f>
        <v>#REF!</v>
      </c>
      <c r="IM77" t="e">
        <f>AND(#REF!,"AAAAAGNrXfY=")</f>
        <v>#REF!</v>
      </c>
      <c r="IN77" t="e">
        <f>AND(#REF!,"AAAAAGNrXfc=")</f>
        <v>#REF!</v>
      </c>
      <c r="IO77" t="e">
        <f>AND(#REF!,"AAAAAGNrXfg=")</f>
        <v>#REF!</v>
      </c>
      <c r="IP77" t="e">
        <f>AND(#REF!,"AAAAAGNrXfk=")</f>
        <v>#REF!</v>
      </c>
      <c r="IQ77" t="e">
        <f>AND(#REF!,"AAAAAGNrXfo=")</f>
        <v>#REF!</v>
      </c>
      <c r="IR77" t="e">
        <f>AND(#REF!,"AAAAAGNrXfs=")</f>
        <v>#REF!</v>
      </c>
      <c r="IS77" t="e">
        <f>AND(#REF!,"AAAAAGNrXfw=")</f>
        <v>#REF!</v>
      </c>
      <c r="IT77" t="e">
        <f>AND(#REF!,"AAAAAGNrXf0=")</f>
        <v>#REF!</v>
      </c>
      <c r="IU77" t="e">
        <f>AND(#REF!,"AAAAAGNrXf4=")</f>
        <v>#REF!</v>
      </c>
      <c r="IV77" t="e">
        <f>AND(#REF!,"AAAAAGNrXf8=")</f>
        <v>#REF!</v>
      </c>
    </row>
    <row r="78" spans="1:256" x14ac:dyDescent="0.2">
      <c r="A78" t="e">
        <f>AND(#REF!,"AAAAAG7ZvwA=")</f>
        <v>#REF!</v>
      </c>
      <c r="B78" t="e">
        <f>AND(#REF!,"AAAAAG7ZvwE=")</f>
        <v>#REF!</v>
      </c>
      <c r="C78" t="e">
        <f>AND(#REF!,"AAAAAG7ZvwI=")</f>
        <v>#REF!</v>
      </c>
      <c r="D78" t="e">
        <f>AND(#REF!,"AAAAAG7ZvwM=")</f>
        <v>#REF!</v>
      </c>
      <c r="E78" t="e">
        <f>AND(#REF!,"AAAAAG7ZvwQ=")</f>
        <v>#REF!</v>
      </c>
      <c r="F78" t="e">
        <f>AND(#REF!,"AAAAAG7ZvwU=")</f>
        <v>#REF!</v>
      </c>
      <c r="G78" t="e">
        <f>AND(#REF!,"AAAAAG7ZvwY=")</f>
        <v>#REF!</v>
      </c>
      <c r="H78" t="e">
        <f>AND(#REF!,"AAAAAG7Zvwc=")</f>
        <v>#REF!</v>
      </c>
      <c r="I78" t="e">
        <f>AND(#REF!,"AAAAAG7Zvwg=")</f>
        <v>#REF!</v>
      </c>
      <c r="J78" t="e">
        <f>AND(#REF!,"AAAAAG7Zvwk=")</f>
        <v>#REF!</v>
      </c>
      <c r="K78" t="e">
        <f>AND(#REF!,"AAAAAG7Zvwo=")</f>
        <v>#REF!</v>
      </c>
      <c r="L78" t="e">
        <f>AND(#REF!,"AAAAAG7Zvws=")</f>
        <v>#REF!</v>
      </c>
      <c r="M78" t="e">
        <f>AND(#REF!,"AAAAAG7Zvww=")</f>
        <v>#REF!</v>
      </c>
      <c r="N78" t="e">
        <f>IF(#REF!,"AAAAAG7Zvw0=",0)</f>
        <v>#REF!</v>
      </c>
      <c r="O78" t="e">
        <f>AND(#REF!,"AAAAAG7Zvw4=")</f>
        <v>#REF!</v>
      </c>
      <c r="P78" t="e">
        <f>AND(#REF!,"AAAAAG7Zvw8=")</f>
        <v>#REF!</v>
      </c>
      <c r="Q78" t="e">
        <f>AND(#REF!,"AAAAAG7ZvxA=")</f>
        <v>#REF!</v>
      </c>
      <c r="R78" t="e">
        <f>AND(#REF!,"AAAAAG7ZvxE=")</f>
        <v>#REF!</v>
      </c>
      <c r="S78" t="e">
        <f>AND(#REF!,"AAAAAG7ZvxI=")</f>
        <v>#REF!</v>
      </c>
      <c r="T78" t="e">
        <f>AND(#REF!,"AAAAAG7ZvxM=")</f>
        <v>#REF!</v>
      </c>
      <c r="U78" t="e">
        <f>AND(#REF!,"AAAAAG7ZvxQ=")</f>
        <v>#REF!</v>
      </c>
      <c r="V78" t="e">
        <f>AND(#REF!,"AAAAAG7ZvxU=")</f>
        <v>#REF!</v>
      </c>
      <c r="W78" t="e">
        <f>AND(#REF!,"AAAAAG7ZvxY=")</f>
        <v>#REF!</v>
      </c>
      <c r="X78" t="e">
        <f>AND(#REF!,"AAAAAG7Zvxc=")</f>
        <v>#REF!</v>
      </c>
      <c r="Y78" t="e">
        <f>AND(#REF!,"AAAAAG7Zvxg=")</f>
        <v>#REF!</v>
      </c>
      <c r="Z78" t="e">
        <f>AND(#REF!,"AAAAAG7Zvxk=")</f>
        <v>#REF!</v>
      </c>
      <c r="AA78" t="e">
        <f>AND(#REF!,"AAAAAG7Zvxo=")</f>
        <v>#REF!</v>
      </c>
      <c r="AB78" t="e">
        <f>AND(#REF!,"AAAAAG7Zvxs=")</f>
        <v>#REF!</v>
      </c>
      <c r="AC78" t="e">
        <f>AND(#REF!,"AAAAAG7Zvxw=")</f>
        <v>#REF!</v>
      </c>
      <c r="AD78" t="e">
        <f>AND(#REF!,"AAAAAG7Zvx0=")</f>
        <v>#REF!</v>
      </c>
      <c r="AE78" t="e">
        <f>AND(#REF!,"AAAAAG7Zvx4=")</f>
        <v>#REF!</v>
      </c>
      <c r="AF78" t="e">
        <f>AND(#REF!,"AAAAAG7Zvx8=")</f>
        <v>#REF!</v>
      </c>
      <c r="AG78" t="e">
        <f>AND(#REF!,"AAAAAG7ZvyA=")</f>
        <v>#REF!</v>
      </c>
      <c r="AH78" t="e">
        <f>AND(#REF!,"AAAAAG7ZvyE=")</f>
        <v>#REF!</v>
      </c>
      <c r="AI78" t="e">
        <f>AND(#REF!,"AAAAAG7ZvyI=")</f>
        <v>#REF!</v>
      </c>
      <c r="AJ78" t="e">
        <f>AND(#REF!,"AAAAAG7ZvyM=")</f>
        <v>#REF!</v>
      </c>
      <c r="AK78" t="e">
        <f>AND(#REF!,"AAAAAG7ZvyQ=")</f>
        <v>#REF!</v>
      </c>
      <c r="AL78" t="e">
        <f>AND(#REF!,"AAAAAG7ZvyU=")</f>
        <v>#REF!</v>
      </c>
      <c r="AM78" t="e">
        <f>AND(#REF!,"AAAAAG7ZvyY=")</f>
        <v>#REF!</v>
      </c>
      <c r="AN78" t="e">
        <f>AND(#REF!,"AAAAAG7Zvyc=")</f>
        <v>#REF!</v>
      </c>
      <c r="AO78" t="e">
        <f>AND(#REF!,"AAAAAG7Zvyg=")</f>
        <v>#REF!</v>
      </c>
      <c r="AP78" t="e">
        <f>AND(#REF!,"AAAAAG7Zvyk=")</f>
        <v>#REF!</v>
      </c>
      <c r="AQ78" t="e">
        <f>AND(#REF!,"AAAAAG7Zvyo=")</f>
        <v>#REF!</v>
      </c>
      <c r="AR78" t="e">
        <f>AND(#REF!,"AAAAAG7Zvys=")</f>
        <v>#REF!</v>
      </c>
      <c r="AS78" t="e">
        <f>AND(#REF!,"AAAAAG7Zvyw=")</f>
        <v>#REF!</v>
      </c>
      <c r="AT78" t="e">
        <f>AND(#REF!,"AAAAAG7Zvy0=")</f>
        <v>#REF!</v>
      </c>
      <c r="AU78" t="e">
        <f>AND(#REF!,"AAAAAG7Zvy4=")</f>
        <v>#REF!</v>
      </c>
      <c r="AV78" t="e">
        <f>AND(#REF!,"AAAAAG7Zvy8=")</f>
        <v>#REF!</v>
      </c>
      <c r="AW78" t="e">
        <f>AND(#REF!,"AAAAAG7ZvzA=")</f>
        <v>#REF!</v>
      </c>
      <c r="AX78" t="e">
        <f>AND(#REF!,"AAAAAG7ZvzE=")</f>
        <v>#REF!</v>
      </c>
      <c r="AY78" t="e">
        <f>AND(#REF!,"AAAAAG7ZvzI=")</f>
        <v>#REF!</v>
      </c>
      <c r="AZ78" t="e">
        <f>AND(#REF!,"AAAAAG7ZvzM=")</f>
        <v>#REF!</v>
      </c>
      <c r="BA78" t="e">
        <f>AND(#REF!,"AAAAAG7ZvzQ=")</f>
        <v>#REF!</v>
      </c>
      <c r="BB78" t="e">
        <f>AND(#REF!,"AAAAAG7ZvzU=")</f>
        <v>#REF!</v>
      </c>
      <c r="BC78" t="e">
        <f>AND(#REF!,"AAAAAG7ZvzY=")</f>
        <v>#REF!</v>
      </c>
      <c r="BD78" t="e">
        <f>AND(#REF!,"AAAAAG7Zvzc=")</f>
        <v>#REF!</v>
      </c>
      <c r="BE78" t="e">
        <f>AND(#REF!,"AAAAAG7Zvzg=")</f>
        <v>#REF!</v>
      </c>
      <c r="BF78" t="e">
        <f>AND(#REF!,"AAAAAG7Zvzk=")</f>
        <v>#REF!</v>
      </c>
      <c r="BG78" t="e">
        <f>AND(#REF!,"AAAAAG7Zvzo=")</f>
        <v>#REF!</v>
      </c>
      <c r="BH78" t="e">
        <f>AND(#REF!,"AAAAAG7Zvzs=")</f>
        <v>#REF!</v>
      </c>
      <c r="BI78" t="e">
        <f>AND(#REF!,"AAAAAG7Zvzw=")</f>
        <v>#REF!</v>
      </c>
      <c r="BJ78" t="e">
        <f>AND(#REF!,"AAAAAG7Zvz0=")</f>
        <v>#REF!</v>
      </c>
      <c r="BK78" t="e">
        <f>AND(#REF!,"AAAAAG7Zvz4=")</f>
        <v>#REF!</v>
      </c>
      <c r="BL78" t="e">
        <f>AND(#REF!,"AAAAAG7Zvz8=")</f>
        <v>#REF!</v>
      </c>
      <c r="BM78" t="e">
        <f>AND(#REF!,"AAAAAG7Zv0A=")</f>
        <v>#REF!</v>
      </c>
      <c r="BN78" t="e">
        <f>AND(#REF!,"AAAAAG7Zv0E=")</f>
        <v>#REF!</v>
      </c>
      <c r="BO78" t="e">
        <f>AND(#REF!,"AAAAAG7Zv0I=")</f>
        <v>#REF!</v>
      </c>
      <c r="BP78" t="e">
        <f>AND(#REF!,"AAAAAG7Zv0M=")</f>
        <v>#REF!</v>
      </c>
      <c r="BQ78" t="e">
        <f>AND(#REF!,"AAAAAG7Zv0Q=")</f>
        <v>#REF!</v>
      </c>
      <c r="BR78" t="e">
        <f>AND(#REF!,"AAAAAG7Zv0U=")</f>
        <v>#REF!</v>
      </c>
      <c r="BS78" t="e">
        <f>AND(#REF!,"AAAAAG7Zv0Y=")</f>
        <v>#REF!</v>
      </c>
      <c r="BT78" t="e">
        <f>AND(#REF!,"AAAAAG7Zv0c=")</f>
        <v>#REF!</v>
      </c>
      <c r="BU78" t="e">
        <f>AND(#REF!,"AAAAAG7Zv0g=")</f>
        <v>#REF!</v>
      </c>
      <c r="BV78" t="e">
        <f>AND(#REF!,"AAAAAG7Zv0k=")</f>
        <v>#REF!</v>
      </c>
      <c r="BW78" t="e">
        <f>AND(#REF!,"AAAAAG7Zv0o=")</f>
        <v>#REF!</v>
      </c>
      <c r="BX78" t="e">
        <f>AND(#REF!,"AAAAAG7Zv0s=")</f>
        <v>#REF!</v>
      </c>
      <c r="BY78" t="e">
        <f>AND(#REF!,"AAAAAG7Zv0w=")</f>
        <v>#REF!</v>
      </c>
      <c r="BZ78" t="e">
        <f>AND(#REF!,"AAAAAG7Zv00=")</f>
        <v>#REF!</v>
      </c>
      <c r="CA78" t="e">
        <f>AND(#REF!,"AAAAAG7Zv04=")</f>
        <v>#REF!</v>
      </c>
      <c r="CB78" t="e">
        <f>AND(#REF!,"AAAAAG7Zv08=")</f>
        <v>#REF!</v>
      </c>
      <c r="CC78" t="e">
        <f>AND(#REF!,"AAAAAG7Zv1A=")</f>
        <v>#REF!</v>
      </c>
      <c r="CD78" t="e">
        <f>AND(#REF!,"AAAAAG7Zv1E=")</f>
        <v>#REF!</v>
      </c>
      <c r="CE78" t="e">
        <f>AND(#REF!,"AAAAAG7Zv1I=")</f>
        <v>#REF!</v>
      </c>
      <c r="CF78" t="e">
        <f>AND(#REF!,"AAAAAG7Zv1M=")</f>
        <v>#REF!</v>
      </c>
      <c r="CG78" t="e">
        <f>AND(#REF!,"AAAAAG7Zv1Q=")</f>
        <v>#REF!</v>
      </c>
      <c r="CH78" t="e">
        <f>AND(#REF!,"AAAAAG7Zv1U=")</f>
        <v>#REF!</v>
      </c>
      <c r="CI78" t="e">
        <f>AND(#REF!,"AAAAAG7Zv1Y=")</f>
        <v>#REF!</v>
      </c>
      <c r="CJ78" t="e">
        <f>AND(#REF!,"AAAAAG7Zv1c=")</f>
        <v>#REF!</v>
      </c>
      <c r="CK78" t="e">
        <f>IF(#REF!,"AAAAAG7Zv1g=",0)</f>
        <v>#REF!</v>
      </c>
      <c r="CL78" t="e">
        <f>AND(#REF!,"AAAAAG7Zv1k=")</f>
        <v>#REF!</v>
      </c>
      <c r="CM78" t="e">
        <f>AND(#REF!,"AAAAAG7Zv1o=")</f>
        <v>#REF!</v>
      </c>
      <c r="CN78" t="e">
        <f>AND(#REF!,"AAAAAG7Zv1s=")</f>
        <v>#REF!</v>
      </c>
      <c r="CO78" t="e">
        <f>AND(#REF!,"AAAAAG7Zv1w=")</f>
        <v>#REF!</v>
      </c>
      <c r="CP78" t="e">
        <f>AND(#REF!,"AAAAAG7Zv10=")</f>
        <v>#REF!</v>
      </c>
      <c r="CQ78" t="e">
        <f>AND(#REF!,"AAAAAG7Zv14=")</f>
        <v>#REF!</v>
      </c>
      <c r="CR78" t="e">
        <f>AND(#REF!,"AAAAAG7Zv18=")</f>
        <v>#REF!</v>
      </c>
      <c r="CS78" t="e">
        <f>AND(#REF!,"AAAAAG7Zv2A=")</f>
        <v>#REF!</v>
      </c>
      <c r="CT78" t="e">
        <f>AND(#REF!,"AAAAAG7Zv2E=")</f>
        <v>#REF!</v>
      </c>
      <c r="CU78" t="e">
        <f>AND(#REF!,"AAAAAG7Zv2I=")</f>
        <v>#REF!</v>
      </c>
      <c r="CV78" t="e">
        <f>AND(#REF!,"AAAAAG7Zv2M=")</f>
        <v>#REF!</v>
      </c>
      <c r="CW78" t="e">
        <f>AND(#REF!,"AAAAAG7Zv2Q=")</f>
        <v>#REF!</v>
      </c>
      <c r="CX78" t="e">
        <f>AND(#REF!,"AAAAAG7Zv2U=")</f>
        <v>#REF!</v>
      </c>
      <c r="CY78" t="e">
        <f>AND(#REF!,"AAAAAG7Zv2Y=")</f>
        <v>#REF!</v>
      </c>
      <c r="CZ78" t="e">
        <f>AND(#REF!,"AAAAAG7Zv2c=")</f>
        <v>#REF!</v>
      </c>
      <c r="DA78" t="e">
        <f>AND(#REF!,"AAAAAG7Zv2g=")</f>
        <v>#REF!</v>
      </c>
      <c r="DB78" t="e">
        <f>AND(#REF!,"AAAAAG7Zv2k=")</f>
        <v>#REF!</v>
      </c>
      <c r="DC78" t="e">
        <f>AND(#REF!,"AAAAAG7Zv2o=")</f>
        <v>#REF!</v>
      </c>
      <c r="DD78" t="e">
        <f>AND(#REF!,"AAAAAG7Zv2s=")</f>
        <v>#REF!</v>
      </c>
      <c r="DE78" t="e">
        <f>AND(#REF!,"AAAAAG7Zv2w=")</f>
        <v>#REF!</v>
      </c>
      <c r="DF78" t="e">
        <f>AND(#REF!,"AAAAAG7Zv20=")</f>
        <v>#REF!</v>
      </c>
      <c r="DG78" t="e">
        <f>AND(#REF!,"AAAAAG7Zv24=")</f>
        <v>#REF!</v>
      </c>
      <c r="DH78" t="e">
        <f>AND(#REF!,"AAAAAG7Zv28=")</f>
        <v>#REF!</v>
      </c>
      <c r="DI78" t="e">
        <f>AND(#REF!,"AAAAAG7Zv3A=")</f>
        <v>#REF!</v>
      </c>
      <c r="DJ78" t="e">
        <f>AND(#REF!,"AAAAAG7Zv3E=")</f>
        <v>#REF!</v>
      </c>
      <c r="DK78" t="e">
        <f>AND(#REF!,"AAAAAG7Zv3I=")</f>
        <v>#REF!</v>
      </c>
      <c r="DL78" t="e">
        <f>AND(#REF!,"AAAAAG7Zv3M=")</f>
        <v>#REF!</v>
      </c>
      <c r="DM78" t="e">
        <f>AND(#REF!,"AAAAAG7Zv3Q=")</f>
        <v>#REF!</v>
      </c>
      <c r="DN78" t="e">
        <f>AND(#REF!,"AAAAAG7Zv3U=")</f>
        <v>#REF!</v>
      </c>
      <c r="DO78" t="e">
        <f>AND(#REF!,"AAAAAG7Zv3Y=")</f>
        <v>#REF!</v>
      </c>
      <c r="DP78" t="e">
        <f>AND(#REF!,"AAAAAG7Zv3c=")</f>
        <v>#REF!</v>
      </c>
      <c r="DQ78" t="e">
        <f>AND(#REF!,"AAAAAG7Zv3g=")</f>
        <v>#REF!</v>
      </c>
      <c r="DR78" t="e">
        <f>AND(#REF!,"AAAAAG7Zv3k=")</f>
        <v>#REF!</v>
      </c>
      <c r="DS78" t="e">
        <f>AND(#REF!,"AAAAAG7Zv3o=")</f>
        <v>#REF!</v>
      </c>
      <c r="DT78" t="e">
        <f>AND(#REF!,"AAAAAG7Zv3s=")</f>
        <v>#REF!</v>
      </c>
      <c r="DU78" t="e">
        <f>AND(#REF!,"AAAAAG7Zv3w=")</f>
        <v>#REF!</v>
      </c>
      <c r="DV78" t="e">
        <f>AND(#REF!,"AAAAAG7Zv30=")</f>
        <v>#REF!</v>
      </c>
      <c r="DW78" t="e">
        <f>AND(#REF!,"AAAAAG7Zv34=")</f>
        <v>#REF!</v>
      </c>
      <c r="DX78" t="e">
        <f>AND(#REF!,"AAAAAG7Zv38=")</f>
        <v>#REF!</v>
      </c>
      <c r="DY78" t="e">
        <f>AND(#REF!,"AAAAAG7Zv4A=")</f>
        <v>#REF!</v>
      </c>
      <c r="DZ78" t="e">
        <f>AND(#REF!,"AAAAAG7Zv4E=")</f>
        <v>#REF!</v>
      </c>
      <c r="EA78" t="e">
        <f>AND(#REF!,"AAAAAG7Zv4I=")</f>
        <v>#REF!</v>
      </c>
      <c r="EB78" t="e">
        <f>AND(#REF!,"AAAAAG7Zv4M=")</f>
        <v>#REF!</v>
      </c>
      <c r="EC78" t="e">
        <f>AND(#REF!,"AAAAAG7Zv4Q=")</f>
        <v>#REF!</v>
      </c>
      <c r="ED78" t="e">
        <f>AND(#REF!,"AAAAAG7Zv4U=")</f>
        <v>#REF!</v>
      </c>
      <c r="EE78" t="e">
        <f>AND(#REF!,"AAAAAG7Zv4Y=")</f>
        <v>#REF!</v>
      </c>
      <c r="EF78" t="e">
        <f>AND(#REF!,"AAAAAG7Zv4c=")</f>
        <v>#REF!</v>
      </c>
      <c r="EG78" t="e">
        <f>AND(#REF!,"AAAAAG7Zv4g=")</f>
        <v>#REF!</v>
      </c>
      <c r="EH78" t="e">
        <f>AND(#REF!,"AAAAAG7Zv4k=")</f>
        <v>#REF!</v>
      </c>
      <c r="EI78" t="e">
        <f>AND(#REF!,"AAAAAG7Zv4o=")</f>
        <v>#REF!</v>
      </c>
      <c r="EJ78" t="e">
        <f>AND(#REF!,"AAAAAG7Zv4s=")</f>
        <v>#REF!</v>
      </c>
      <c r="EK78" t="e">
        <f>AND(#REF!,"AAAAAG7Zv4w=")</f>
        <v>#REF!</v>
      </c>
      <c r="EL78" t="e">
        <f>AND(#REF!,"AAAAAG7Zv40=")</f>
        <v>#REF!</v>
      </c>
      <c r="EM78" t="e">
        <f>AND(#REF!,"AAAAAG7Zv44=")</f>
        <v>#REF!</v>
      </c>
      <c r="EN78" t="e">
        <f>AND(#REF!,"AAAAAG7Zv48=")</f>
        <v>#REF!</v>
      </c>
      <c r="EO78" t="e">
        <f>AND(#REF!,"AAAAAG7Zv5A=")</f>
        <v>#REF!</v>
      </c>
      <c r="EP78" t="e">
        <f>AND(#REF!,"AAAAAG7Zv5E=")</f>
        <v>#REF!</v>
      </c>
      <c r="EQ78" t="e">
        <f>AND(#REF!,"AAAAAG7Zv5I=")</f>
        <v>#REF!</v>
      </c>
      <c r="ER78" t="e">
        <f>AND(#REF!,"AAAAAG7Zv5M=")</f>
        <v>#REF!</v>
      </c>
      <c r="ES78" t="e">
        <f>AND(#REF!,"AAAAAG7Zv5Q=")</f>
        <v>#REF!</v>
      </c>
      <c r="ET78" t="e">
        <f>AND(#REF!,"AAAAAG7Zv5U=")</f>
        <v>#REF!</v>
      </c>
      <c r="EU78" t="e">
        <f>AND(#REF!,"AAAAAG7Zv5Y=")</f>
        <v>#REF!</v>
      </c>
      <c r="EV78" t="e">
        <f>AND(#REF!,"AAAAAG7Zv5c=")</f>
        <v>#REF!</v>
      </c>
      <c r="EW78" t="e">
        <f>AND(#REF!,"AAAAAG7Zv5g=")</f>
        <v>#REF!</v>
      </c>
      <c r="EX78" t="e">
        <f>AND(#REF!,"AAAAAG7Zv5k=")</f>
        <v>#REF!</v>
      </c>
      <c r="EY78" t="e">
        <f>AND(#REF!,"AAAAAG7Zv5o=")</f>
        <v>#REF!</v>
      </c>
      <c r="EZ78" t="e">
        <f>AND(#REF!,"AAAAAG7Zv5s=")</f>
        <v>#REF!</v>
      </c>
      <c r="FA78" t="e">
        <f>AND(#REF!,"AAAAAG7Zv5w=")</f>
        <v>#REF!</v>
      </c>
      <c r="FB78" t="e">
        <f>AND(#REF!,"AAAAAG7Zv50=")</f>
        <v>#REF!</v>
      </c>
      <c r="FC78" t="e">
        <f>AND(#REF!,"AAAAAG7Zv54=")</f>
        <v>#REF!</v>
      </c>
      <c r="FD78" t="e">
        <f>AND(#REF!,"AAAAAG7Zv58=")</f>
        <v>#REF!</v>
      </c>
      <c r="FE78" t="e">
        <f>AND(#REF!,"AAAAAG7Zv6A=")</f>
        <v>#REF!</v>
      </c>
      <c r="FF78" t="e">
        <f>AND(#REF!,"AAAAAG7Zv6E=")</f>
        <v>#REF!</v>
      </c>
      <c r="FG78" t="e">
        <f>AND(#REF!,"AAAAAG7Zv6I=")</f>
        <v>#REF!</v>
      </c>
      <c r="FH78" t="e">
        <f>IF(#REF!,"AAAAAG7Zv6M=",0)</f>
        <v>#REF!</v>
      </c>
      <c r="FI78" t="e">
        <f>AND(#REF!,"AAAAAG7Zv6Q=")</f>
        <v>#REF!</v>
      </c>
      <c r="FJ78" t="e">
        <f>AND(#REF!,"AAAAAG7Zv6U=")</f>
        <v>#REF!</v>
      </c>
      <c r="FK78" t="e">
        <f>AND(#REF!,"AAAAAG7Zv6Y=")</f>
        <v>#REF!</v>
      </c>
      <c r="FL78" t="e">
        <f>AND(#REF!,"AAAAAG7Zv6c=")</f>
        <v>#REF!</v>
      </c>
      <c r="FM78" t="e">
        <f>AND(#REF!,"AAAAAG7Zv6g=")</f>
        <v>#REF!</v>
      </c>
      <c r="FN78" t="e">
        <f>AND(#REF!,"AAAAAG7Zv6k=")</f>
        <v>#REF!</v>
      </c>
      <c r="FO78" t="e">
        <f>AND(#REF!,"AAAAAG7Zv6o=")</f>
        <v>#REF!</v>
      </c>
      <c r="FP78" t="e">
        <f>AND(#REF!,"AAAAAG7Zv6s=")</f>
        <v>#REF!</v>
      </c>
      <c r="FQ78" t="e">
        <f>AND(#REF!,"AAAAAG7Zv6w=")</f>
        <v>#REF!</v>
      </c>
      <c r="FR78" t="e">
        <f>AND(#REF!,"AAAAAG7Zv60=")</f>
        <v>#REF!</v>
      </c>
      <c r="FS78" t="e">
        <f>AND(#REF!,"AAAAAG7Zv64=")</f>
        <v>#REF!</v>
      </c>
      <c r="FT78" t="e">
        <f>AND(#REF!,"AAAAAG7Zv68=")</f>
        <v>#REF!</v>
      </c>
      <c r="FU78" t="e">
        <f>AND(#REF!,"AAAAAG7Zv7A=")</f>
        <v>#REF!</v>
      </c>
      <c r="FV78" t="e">
        <f>AND(#REF!,"AAAAAG7Zv7E=")</f>
        <v>#REF!</v>
      </c>
      <c r="FW78" t="e">
        <f>AND(#REF!,"AAAAAG7Zv7I=")</f>
        <v>#REF!</v>
      </c>
      <c r="FX78" t="e">
        <f>AND(#REF!,"AAAAAG7Zv7M=")</f>
        <v>#REF!</v>
      </c>
      <c r="FY78" t="e">
        <f>AND(#REF!,"AAAAAG7Zv7Q=")</f>
        <v>#REF!</v>
      </c>
      <c r="FZ78" t="e">
        <f>AND(#REF!,"AAAAAG7Zv7U=")</f>
        <v>#REF!</v>
      </c>
      <c r="GA78" t="e">
        <f>AND(#REF!,"AAAAAG7Zv7Y=")</f>
        <v>#REF!</v>
      </c>
      <c r="GB78" t="e">
        <f>AND(#REF!,"AAAAAG7Zv7c=")</f>
        <v>#REF!</v>
      </c>
      <c r="GC78" t="e">
        <f>AND(#REF!,"AAAAAG7Zv7g=")</f>
        <v>#REF!</v>
      </c>
      <c r="GD78" t="e">
        <f>AND(#REF!,"AAAAAG7Zv7k=")</f>
        <v>#REF!</v>
      </c>
      <c r="GE78" t="e">
        <f>AND(#REF!,"AAAAAG7Zv7o=")</f>
        <v>#REF!</v>
      </c>
      <c r="GF78" t="e">
        <f>AND(#REF!,"AAAAAG7Zv7s=")</f>
        <v>#REF!</v>
      </c>
      <c r="GG78" t="e">
        <f>AND(#REF!,"AAAAAG7Zv7w=")</f>
        <v>#REF!</v>
      </c>
      <c r="GH78" t="e">
        <f>AND(#REF!,"AAAAAG7Zv70=")</f>
        <v>#REF!</v>
      </c>
      <c r="GI78" t="e">
        <f>AND(#REF!,"AAAAAG7Zv74=")</f>
        <v>#REF!</v>
      </c>
      <c r="GJ78" t="e">
        <f>AND(#REF!,"AAAAAG7Zv78=")</f>
        <v>#REF!</v>
      </c>
      <c r="GK78" t="e">
        <f>AND(#REF!,"AAAAAG7Zv8A=")</f>
        <v>#REF!</v>
      </c>
      <c r="GL78" t="e">
        <f>AND(#REF!,"AAAAAG7Zv8E=")</f>
        <v>#REF!</v>
      </c>
      <c r="GM78" t="e">
        <f>AND(#REF!,"AAAAAG7Zv8I=")</f>
        <v>#REF!</v>
      </c>
      <c r="GN78" t="e">
        <f>AND(#REF!,"AAAAAG7Zv8M=")</f>
        <v>#REF!</v>
      </c>
      <c r="GO78" t="e">
        <f>AND(#REF!,"AAAAAG7Zv8Q=")</f>
        <v>#REF!</v>
      </c>
      <c r="GP78" t="e">
        <f>AND(#REF!,"AAAAAG7Zv8U=")</f>
        <v>#REF!</v>
      </c>
      <c r="GQ78" t="e">
        <f>AND(#REF!,"AAAAAG7Zv8Y=")</f>
        <v>#REF!</v>
      </c>
      <c r="GR78" t="e">
        <f>AND(#REF!,"AAAAAG7Zv8c=")</f>
        <v>#REF!</v>
      </c>
      <c r="GS78" t="e">
        <f>AND(#REF!,"AAAAAG7Zv8g=")</f>
        <v>#REF!</v>
      </c>
      <c r="GT78" t="e">
        <f>AND(#REF!,"AAAAAG7Zv8k=")</f>
        <v>#REF!</v>
      </c>
      <c r="GU78" t="e">
        <f>AND(#REF!,"AAAAAG7Zv8o=")</f>
        <v>#REF!</v>
      </c>
      <c r="GV78" t="e">
        <f>AND(#REF!,"AAAAAG7Zv8s=")</f>
        <v>#REF!</v>
      </c>
      <c r="GW78" t="e">
        <f>AND(#REF!,"AAAAAG7Zv8w=")</f>
        <v>#REF!</v>
      </c>
      <c r="GX78" t="e">
        <f>AND(#REF!,"AAAAAG7Zv80=")</f>
        <v>#REF!</v>
      </c>
      <c r="GY78" t="e">
        <f>AND(#REF!,"AAAAAG7Zv84=")</f>
        <v>#REF!</v>
      </c>
      <c r="GZ78" t="e">
        <f>AND(#REF!,"AAAAAG7Zv88=")</f>
        <v>#REF!</v>
      </c>
      <c r="HA78" t="e">
        <f>AND(#REF!,"AAAAAG7Zv9A=")</f>
        <v>#REF!</v>
      </c>
      <c r="HB78" t="e">
        <f>AND(#REF!,"AAAAAG7Zv9E=")</f>
        <v>#REF!</v>
      </c>
      <c r="HC78" t="e">
        <f>AND(#REF!,"AAAAAG7Zv9I=")</f>
        <v>#REF!</v>
      </c>
      <c r="HD78" t="e">
        <f>AND(#REF!,"AAAAAG7Zv9M=")</f>
        <v>#REF!</v>
      </c>
      <c r="HE78" t="e">
        <f>AND(#REF!,"AAAAAG7Zv9Q=")</f>
        <v>#REF!</v>
      </c>
      <c r="HF78" t="e">
        <f>AND(#REF!,"AAAAAG7Zv9U=")</f>
        <v>#REF!</v>
      </c>
      <c r="HG78" t="e">
        <f>AND(#REF!,"AAAAAG7Zv9Y=")</f>
        <v>#REF!</v>
      </c>
      <c r="HH78" t="e">
        <f>AND(#REF!,"AAAAAG7Zv9c=")</f>
        <v>#REF!</v>
      </c>
      <c r="HI78" t="e">
        <f>AND(#REF!,"AAAAAG7Zv9g=")</f>
        <v>#REF!</v>
      </c>
      <c r="HJ78" t="e">
        <f>AND(#REF!,"AAAAAG7Zv9k=")</f>
        <v>#REF!</v>
      </c>
      <c r="HK78" t="e">
        <f>AND(#REF!,"AAAAAG7Zv9o=")</f>
        <v>#REF!</v>
      </c>
      <c r="HL78" t="e">
        <f>AND(#REF!,"AAAAAG7Zv9s=")</f>
        <v>#REF!</v>
      </c>
      <c r="HM78" t="e">
        <f>AND(#REF!,"AAAAAG7Zv9w=")</f>
        <v>#REF!</v>
      </c>
      <c r="HN78" t="e">
        <f>AND(#REF!,"AAAAAG7Zv90=")</f>
        <v>#REF!</v>
      </c>
      <c r="HO78" t="e">
        <f>AND(#REF!,"AAAAAG7Zv94=")</f>
        <v>#REF!</v>
      </c>
      <c r="HP78" t="e">
        <f>AND(#REF!,"AAAAAG7Zv98=")</f>
        <v>#REF!</v>
      </c>
      <c r="HQ78" t="e">
        <f>AND(#REF!,"AAAAAG7Zv+A=")</f>
        <v>#REF!</v>
      </c>
      <c r="HR78" t="e">
        <f>AND(#REF!,"AAAAAG7Zv+E=")</f>
        <v>#REF!</v>
      </c>
      <c r="HS78" t="e">
        <f>AND(#REF!,"AAAAAG7Zv+I=")</f>
        <v>#REF!</v>
      </c>
      <c r="HT78" t="e">
        <f>AND(#REF!,"AAAAAG7Zv+M=")</f>
        <v>#REF!</v>
      </c>
      <c r="HU78" t="e">
        <f>AND(#REF!,"AAAAAG7Zv+Q=")</f>
        <v>#REF!</v>
      </c>
      <c r="HV78" t="e">
        <f>AND(#REF!,"AAAAAG7Zv+U=")</f>
        <v>#REF!</v>
      </c>
      <c r="HW78" t="e">
        <f>AND(#REF!,"AAAAAG7Zv+Y=")</f>
        <v>#REF!</v>
      </c>
      <c r="HX78" t="e">
        <f>AND(#REF!,"AAAAAG7Zv+c=")</f>
        <v>#REF!</v>
      </c>
      <c r="HY78" t="e">
        <f>AND(#REF!,"AAAAAG7Zv+g=")</f>
        <v>#REF!</v>
      </c>
      <c r="HZ78" t="e">
        <f>AND(#REF!,"AAAAAG7Zv+k=")</f>
        <v>#REF!</v>
      </c>
      <c r="IA78" t="e">
        <f>AND(#REF!,"AAAAAG7Zv+o=")</f>
        <v>#REF!</v>
      </c>
      <c r="IB78" t="e">
        <f>AND(#REF!,"AAAAAG7Zv+s=")</f>
        <v>#REF!</v>
      </c>
      <c r="IC78" t="e">
        <f>AND(#REF!,"AAAAAG7Zv+w=")</f>
        <v>#REF!</v>
      </c>
      <c r="ID78" t="e">
        <f>AND(#REF!,"AAAAAG7Zv+0=")</f>
        <v>#REF!</v>
      </c>
      <c r="IE78" t="e">
        <f>IF(#REF!,"AAAAAG7Zv+4=",0)</f>
        <v>#REF!</v>
      </c>
      <c r="IF78" t="e">
        <f>AND(#REF!,"AAAAAG7Zv+8=")</f>
        <v>#REF!</v>
      </c>
      <c r="IG78" t="e">
        <f>AND(#REF!,"AAAAAG7Zv/A=")</f>
        <v>#REF!</v>
      </c>
      <c r="IH78" t="e">
        <f>AND(#REF!,"AAAAAG7Zv/E=")</f>
        <v>#REF!</v>
      </c>
      <c r="II78" t="e">
        <f>AND(#REF!,"AAAAAG7Zv/I=")</f>
        <v>#REF!</v>
      </c>
      <c r="IJ78" t="e">
        <f>AND(#REF!,"AAAAAG7Zv/M=")</f>
        <v>#REF!</v>
      </c>
      <c r="IK78" t="e">
        <f>AND(#REF!,"AAAAAG7Zv/Q=")</f>
        <v>#REF!</v>
      </c>
      <c r="IL78" t="e">
        <f>AND(#REF!,"AAAAAG7Zv/U=")</f>
        <v>#REF!</v>
      </c>
      <c r="IM78" t="e">
        <f>AND(#REF!,"AAAAAG7Zv/Y=")</f>
        <v>#REF!</v>
      </c>
      <c r="IN78" t="e">
        <f>AND(#REF!,"AAAAAG7Zv/c=")</f>
        <v>#REF!</v>
      </c>
      <c r="IO78" t="e">
        <f>AND(#REF!,"AAAAAG7Zv/g=")</f>
        <v>#REF!</v>
      </c>
      <c r="IP78" t="e">
        <f>AND(#REF!,"AAAAAG7Zv/k=")</f>
        <v>#REF!</v>
      </c>
      <c r="IQ78" t="e">
        <f>AND(#REF!,"AAAAAG7Zv/o=")</f>
        <v>#REF!</v>
      </c>
      <c r="IR78" t="e">
        <f>AND(#REF!,"AAAAAG7Zv/s=")</f>
        <v>#REF!</v>
      </c>
      <c r="IS78" t="e">
        <f>AND(#REF!,"AAAAAG7Zv/w=")</f>
        <v>#REF!</v>
      </c>
      <c r="IT78" t="e">
        <f>AND(#REF!,"AAAAAG7Zv/0=")</f>
        <v>#REF!</v>
      </c>
      <c r="IU78" t="e">
        <f>AND(#REF!,"AAAAAG7Zv/4=")</f>
        <v>#REF!</v>
      </c>
      <c r="IV78" t="e">
        <f>AND(#REF!,"AAAAAG7Zv/8=")</f>
        <v>#REF!</v>
      </c>
    </row>
    <row r="79" spans="1:256" x14ac:dyDescent="0.2">
      <c r="A79" t="e">
        <f>AND(#REF!,"AAAAAH379wA=")</f>
        <v>#REF!</v>
      </c>
      <c r="B79" t="e">
        <f>AND(#REF!,"AAAAAH379wE=")</f>
        <v>#REF!</v>
      </c>
      <c r="C79" t="e">
        <f>AND(#REF!,"AAAAAH379wI=")</f>
        <v>#REF!</v>
      </c>
      <c r="D79" t="e">
        <f>AND(#REF!,"AAAAAH379wM=")</f>
        <v>#REF!</v>
      </c>
      <c r="E79" t="e">
        <f>AND(#REF!,"AAAAAH379wQ=")</f>
        <v>#REF!</v>
      </c>
      <c r="F79" t="e">
        <f>AND(#REF!,"AAAAAH379wU=")</f>
        <v>#REF!</v>
      </c>
      <c r="G79" t="e">
        <f>AND(#REF!,"AAAAAH379wY=")</f>
        <v>#REF!</v>
      </c>
      <c r="H79" t="e">
        <f>AND(#REF!,"AAAAAH379wc=")</f>
        <v>#REF!</v>
      </c>
      <c r="I79" t="e">
        <f>AND(#REF!,"AAAAAH379wg=")</f>
        <v>#REF!</v>
      </c>
      <c r="J79" t="e">
        <f>AND(#REF!,"AAAAAH379wk=")</f>
        <v>#REF!</v>
      </c>
      <c r="K79" t="e">
        <f>AND(#REF!,"AAAAAH379wo=")</f>
        <v>#REF!</v>
      </c>
      <c r="L79" t="e">
        <f>AND(#REF!,"AAAAAH379ws=")</f>
        <v>#REF!</v>
      </c>
      <c r="M79" t="e">
        <f>AND(#REF!,"AAAAAH379ww=")</f>
        <v>#REF!</v>
      </c>
      <c r="N79" t="e">
        <f>AND(#REF!,"AAAAAH379w0=")</f>
        <v>#REF!</v>
      </c>
      <c r="O79" t="e">
        <f>AND(#REF!,"AAAAAH379w4=")</f>
        <v>#REF!</v>
      </c>
      <c r="P79" t="e">
        <f>AND(#REF!,"AAAAAH379w8=")</f>
        <v>#REF!</v>
      </c>
      <c r="Q79" t="e">
        <f>AND(#REF!,"AAAAAH379xA=")</f>
        <v>#REF!</v>
      </c>
      <c r="R79" t="e">
        <f>AND(#REF!,"AAAAAH379xE=")</f>
        <v>#REF!</v>
      </c>
      <c r="S79" t="e">
        <f>AND(#REF!,"AAAAAH379xI=")</f>
        <v>#REF!</v>
      </c>
      <c r="T79" t="e">
        <f>AND(#REF!,"AAAAAH379xM=")</f>
        <v>#REF!</v>
      </c>
      <c r="U79" t="e">
        <f>AND(#REF!,"AAAAAH379xQ=")</f>
        <v>#REF!</v>
      </c>
      <c r="V79" t="e">
        <f>AND(#REF!,"AAAAAH379xU=")</f>
        <v>#REF!</v>
      </c>
      <c r="W79" t="e">
        <f>AND(#REF!,"AAAAAH379xY=")</f>
        <v>#REF!</v>
      </c>
      <c r="X79" t="e">
        <f>AND(#REF!,"AAAAAH379xc=")</f>
        <v>#REF!</v>
      </c>
      <c r="Y79" t="e">
        <f>AND(#REF!,"AAAAAH379xg=")</f>
        <v>#REF!</v>
      </c>
      <c r="Z79" t="e">
        <f>AND(#REF!,"AAAAAH379xk=")</f>
        <v>#REF!</v>
      </c>
      <c r="AA79" t="e">
        <f>AND(#REF!,"AAAAAH379xo=")</f>
        <v>#REF!</v>
      </c>
      <c r="AB79" t="e">
        <f>AND(#REF!,"AAAAAH379xs=")</f>
        <v>#REF!</v>
      </c>
      <c r="AC79" t="e">
        <f>AND(#REF!,"AAAAAH379xw=")</f>
        <v>#REF!</v>
      </c>
      <c r="AD79" t="e">
        <f>AND(#REF!,"AAAAAH379x0=")</f>
        <v>#REF!</v>
      </c>
      <c r="AE79" t="e">
        <f>AND(#REF!,"AAAAAH379x4=")</f>
        <v>#REF!</v>
      </c>
      <c r="AF79" t="e">
        <f>AND(#REF!,"AAAAAH379x8=")</f>
        <v>#REF!</v>
      </c>
      <c r="AG79" t="e">
        <f>AND(#REF!,"AAAAAH379yA=")</f>
        <v>#REF!</v>
      </c>
      <c r="AH79" t="e">
        <f>AND(#REF!,"AAAAAH379yE=")</f>
        <v>#REF!</v>
      </c>
      <c r="AI79" t="e">
        <f>AND(#REF!,"AAAAAH379yI=")</f>
        <v>#REF!</v>
      </c>
      <c r="AJ79" t="e">
        <f>AND(#REF!,"AAAAAH379yM=")</f>
        <v>#REF!</v>
      </c>
      <c r="AK79" t="e">
        <f>AND(#REF!,"AAAAAH379yQ=")</f>
        <v>#REF!</v>
      </c>
      <c r="AL79" t="e">
        <f>AND(#REF!,"AAAAAH379yU=")</f>
        <v>#REF!</v>
      </c>
      <c r="AM79" t="e">
        <f>AND(#REF!,"AAAAAH379yY=")</f>
        <v>#REF!</v>
      </c>
      <c r="AN79" t="e">
        <f>AND(#REF!,"AAAAAH379yc=")</f>
        <v>#REF!</v>
      </c>
      <c r="AO79" t="e">
        <f>AND(#REF!,"AAAAAH379yg=")</f>
        <v>#REF!</v>
      </c>
      <c r="AP79" t="e">
        <f>AND(#REF!,"AAAAAH379yk=")</f>
        <v>#REF!</v>
      </c>
      <c r="AQ79" t="e">
        <f>AND(#REF!,"AAAAAH379yo=")</f>
        <v>#REF!</v>
      </c>
      <c r="AR79" t="e">
        <f>AND(#REF!,"AAAAAH379ys=")</f>
        <v>#REF!</v>
      </c>
      <c r="AS79" t="e">
        <f>AND(#REF!,"AAAAAH379yw=")</f>
        <v>#REF!</v>
      </c>
      <c r="AT79" t="e">
        <f>AND(#REF!,"AAAAAH379y0=")</f>
        <v>#REF!</v>
      </c>
      <c r="AU79" t="e">
        <f>AND(#REF!,"AAAAAH379y4=")</f>
        <v>#REF!</v>
      </c>
      <c r="AV79" t="e">
        <f>AND(#REF!,"AAAAAH379y8=")</f>
        <v>#REF!</v>
      </c>
      <c r="AW79" t="e">
        <f>AND(#REF!,"AAAAAH379zA=")</f>
        <v>#REF!</v>
      </c>
      <c r="AX79" t="e">
        <f>AND(#REF!,"AAAAAH379zE=")</f>
        <v>#REF!</v>
      </c>
      <c r="AY79" t="e">
        <f>AND(#REF!,"AAAAAH379zI=")</f>
        <v>#REF!</v>
      </c>
      <c r="AZ79" t="e">
        <f>AND(#REF!,"AAAAAH379zM=")</f>
        <v>#REF!</v>
      </c>
      <c r="BA79" t="e">
        <f>AND(#REF!,"AAAAAH379zQ=")</f>
        <v>#REF!</v>
      </c>
      <c r="BB79" t="e">
        <f>AND(#REF!,"AAAAAH379zU=")</f>
        <v>#REF!</v>
      </c>
      <c r="BC79" t="e">
        <f>AND(#REF!,"AAAAAH379zY=")</f>
        <v>#REF!</v>
      </c>
      <c r="BD79" t="e">
        <f>AND(#REF!,"AAAAAH379zc=")</f>
        <v>#REF!</v>
      </c>
      <c r="BE79" t="e">
        <f>AND(#REF!,"AAAAAH379zg=")</f>
        <v>#REF!</v>
      </c>
      <c r="BF79" t="e">
        <f>IF(#REF!,"AAAAAH379zk=",0)</f>
        <v>#REF!</v>
      </c>
      <c r="BG79" t="e">
        <f>AND(#REF!,"AAAAAH379zo=")</f>
        <v>#REF!</v>
      </c>
      <c r="BH79" t="e">
        <f>AND(#REF!,"AAAAAH379zs=")</f>
        <v>#REF!</v>
      </c>
      <c r="BI79" t="e">
        <f>AND(#REF!,"AAAAAH379zw=")</f>
        <v>#REF!</v>
      </c>
      <c r="BJ79" t="e">
        <f>AND(#REF!,"AAAAAH379z0=")</f>
        <v>#REF!</v>
      </c>
      <c r="BK79" t="e">
        <f>AND(#REF!,"AAAAAH379z4=")</f>
        <v>#REF!</v>
      </c>
      <c r="BL79" t="e">
        <f>AND(#REF!,"AAAAAH379z8=")</f>
        <v>#REF!</v>
      </c>
      <c r="BM79" t="e">
        <f>AND(#REF!,"AAAAAH3790A=")</f>
        <v>#REF!</v>
      </c>
      <c r="BN79" t="e">
        <f>AND(#REF!,"AAAAAH3790E=")</f>
        <v>#REF!</v>
      </c>
      <c r="BO79" t="e">
        <f>AND(#REF!,"AAAAAH3790I=")</f>
        <v>#REF!</v>
      </c>
      <c r="BP79" t="e">
        <f>AND(#REF!,"AAAAAH3790M=")</f>
        <v>#REF!</v>
      </c>
      <c r="BQ79" t="e">
        <f>AND(#REF!,"AAAAAH3790Q=")</f>
        <v>#REF!</v>
      </c>
      <c r="BR79" t="e">
        <f>AND(#REF!,"AAAAAH3790U=")</f>
        <v>#REF!</v>
      </c>
      <c r="BS79" t="e">
        <f>AND(#REF!,"AAAAAH3790Y=")</f>
        <v>#REF!</v>
      </c>
      <c r="BT79" t="e">
        <f>AND(#REF!,"AAAAAH3790c=")</f>
        <v>#REF!</v>
      </c>
      <c r="BU79" t="e">
        <f>AND(#REF!,"AAAAAH3790g=")</f>
        <v>#REF!</v>
      </c>
      <c r="BV79" t="e">
        <f>AND(#REF!,"AAAAAH3790k=")</f>
        <v>#REF!</v>
      </c>
      <c r="BW79" t="e">
        <f>AND(#REF!,"AAAAAH3790o=")</f>
        <v>#REF!</v>
      </c>
      <c r="BX79" t="e">
        <f>AND(#REF!,"AAAAAH3790s=")</f>
        <v>#REF!</v>
      </c>
      <c r="BY79" t="e">
        <f>AND(#REF!,"AAAAAH3790w=")</f>
        <v>#REF!</v>
      </c>
      <c r="BZ79" t="e">
        <f>AND(#REF!,"AAAAAH37900=")</f>
        <v>#REF!</v>
      </c>
      <c r="CA79" t="e">
        <f>AND(#REF!,"AAAAAH37904=")</f>
        <v>#REF!</v>
      </c>
      <c r="CB79" t="e">
        <f>AND(#REF!,"AAAAAH37908=")</f>
        <v>#REF!</v>
      </c>
      <c r="CC79" t="e">
        <f>AND(#REF!,"AAAAAH3791A=")</f>
        <v>#REF!</v>
      </c>
      <c r="CD79" t="e">
        <f>AND(#REF!,"AAAAAH3791E=")</f>
        <v>#REF!</v>
      </c>
      <c r="CE79" t="e">
        <f>AND(#REF!,"AAAAAH3791I=")</f>
        <v>#REF!</v>
      </c>
      <c r="CF79" t="e">
        <f>AND(#REF!,"AAAAAH3791M=")</f>
        <v>#REF!</v>
      </c>
      <c r="CG79" t="e">
        <f>AND(#REF!,"AAAAAH3791Q=")</f>
        <v>#REF!</v>
      </c>
      <c r="CH79" t="e">
        <f>AND(#REF!,"AAAAAH3791U=")</f>
        <v>#REF!</v>
      </c>
      <c r="CI79" t="e">
        <f>AND(#REF!,"AAAAAH3791Y=")</f>
        <v>#REF!</v>
      </c>
      <c r="CJ79" t="e">
        <f>AND(#REF!,"AAAAAH3791c=")</f>
        <v>#REF!</v>
      </c>
      <c r="CK79" t="e">
        <f>AND(#REF!,"AAAAAH3791g=")</f>
        <v>#REF!</v>
      </c>
      <c r="CL79" t="e">
        <f>AND(#REF!,"AAAAAH3791k=")</f>
        <v>#REF!</v>
      </c>
      <c r="CM79" t="e">
        <f>AND(#REF!,"AAAAAH3791o=")</f>
        <v>#REF!</v>
      </c>
      <c r="CN79" t="e">
        <f>AND(#REF!,"AAAAAH3791s=")</f>
        <v>#REF!</v>
      </c>
      <c r="CO79" t="e">
        <f>AND(#REF!,"AAAAAH3791w=")</f>
        <v>#REF!</v>
      </c>
      <c r="CP79" t="e">
        <f>AND(#REF!,"AAAAAH37910=")</f>
        <v>#REF!</v>
      </c>
      <c r="CQ79" t="e">
        <f>AND(#REF!,"AAAAAH37914=")</f>
        <v>#REF!</v>
      </c>
      <c r="CR79" t="e">
        <f>AND(#REF!,"AAAAAH37918=")</f>
        <v>#REF!</v>
      </c>
      <c r="CS79" t="e">
        <f>AND(#REF!,"AAAAAH3792A=")</f>
        <v>#REF!</v>
      </c>
      <c r="CT79" t="e">
        <f>AND(#REF!,"AAAAAH3792E=")</f>
        <v>#REF!</v>
      </c>
      <c r="CU79" t="e">
        <f>AND(#REF!,"AAAAAH3792I=")</f>
        <v>#REF!</v>
      </c>
      <c r="CV79" t="e">
        <f>AND(#REF!,"AAAAAH3792M=")</f>
        <v>#REF!</v>
      </c>
      <c r="CW79" t="e">
        <f>AND(#REF!,"AAAAAH3792Q=")</f>
        <v>#REF!</v>
      </c>
      <c r="CX79" t="e">
        <f>AND(#REF!,"AAAAAH3792U=")</f>
        <v>#REF!</v>
      </c>
      <c r="CY79" t="e">
        <f>AND(#REF!,"AAAAAH3792Y=")</f>
        <v>#REF!</v>
      </c>
      <c r="CZ79" t="e">
        <f>AND(#REF!,"AAAAAH3792c=")</f>
        <v>#REF!</v>
      </c>
      <c r="DA79" t="e">
        <f>AND(#REF!,"AAAAAH3792g=")</f>
        <v>#REF!</v>
      </c>
      <c r="DB79" t="e">
        <f>AND(#REF!,"AAAAAH3792k=")</f>
        <v>#REF!</v>
      </c>
      <c r="DC79" t="e">
        <f>AND(#REF!,"AAAAAH3792o=")</f>
        <v>#REF!</v>
      </c>
      <c r="DD79" t="e">
        <f>AND(#REF!,"AAAAAH3792s=")</f>
        <v>#REF!</v>
      </c>
      <c r="DE79" t="e">
        <f>AND(#REF!,"AAAAAH3792w=")</f>
        <v>#REF!</v>
      </c>
      <c r="DF79" t="e">
        <f>AND(#REF!,"AAAAAH37920=")</f>
        <v>#REF!</v>
      </c>
      <c r="DG79" t="e">
        <f>AND(#REF!,"AAAAAH37924=")</f>
        <v>#REF!</v>
      </c>
      <c r="DH79" t="e">
        <f>AND(#REF!,"AAAAAH37928=")</f>
        <v>#REF!</v>
      </c>
      <c r="DI79" t="e">
        <f>AND(#REF!,"AAAAAH3793A=")</f>
        <v>#REF!</v>
      </c>
      <c r="DJ79" t="e">
        <f>AND(#REF!,"AAAAAH3793E=")</f>
        <v>#REF!</v>
      </c>
      <c r="DK79" t="e">
        <f>AND(#REF!,"AAAAAH3793I=")</f>
        <v>#REF!</v>
      </c>
      <c r="DL79" t="e">
        <f>AND(#REF!,"AAAAAH3793M=")</f>
        <v>#REF!</v>
      </c>
      <c r="DM79" t="e">
        <f>AND(#REF!,"AAAAAH3793Q=")</f>
        <v>#REF!</v>
      </c>
      <c r="DN79" t="e">
        <f>AND(#REF!,"AAAAAH3793U=")</f>
        <v>#REF!</v>
      </c>
      <c r="DO79" t="e">
        <f>AND(#REF!,"AAAAAH3793Y=")</f>
        <v>#REF!</v>
      </c>
      <c r="DP79" t="e">
        <f>AND(#REF!,"AAAAAH3793c=")</f>
        <v>#REF!</v>
      </c>
      <c r="DQ79" t="e">
        <f>AND(#REF!,"AAAAAH3793g=")</f>
        <v>#REF!</v>
      </c>
      <c r="DR79" t="e">
        <f>AND(#REF!,"AAAAAH3793k=")</f>
        <v>#REF!</v>
      </c>
      <c r="DS79" t="e">
        <f>AND(#REF!,"AAAAAH3793o=")</f>
        <v>#REF!</v>
      </c>
      <c r="DT79" t="e">
        <f>AND(#REF!,"AAAAAH3793s=")</f>
        <v>#REF!</v>
      </c>
      <c r="DU79" t="e">
        <f>AND(#REF!,"AAAAAH3793w=")</f>
        <v>#REF!</v>
      </c>
      <c r="DV79" t="e">
        <f>AND(#REF!,"AAAAAH37930=")</f>
        <v>#REF!</v>
      </c>
      <c r="DW79" t="e">
        <f>AND(#REF!,"AAAAAH37934=")</f>
        <v>#REF!</v>
      </c>
      <c r="DX79" t="e">
        <f>AND(#REF!,"AAAAAH37938=")</f>
        <v>#REF!</v>
      </c>
      <c r="DY79" t="e">
        <f>AND(#REF!,"AAAAAH3794A=")</f>
        <v>#REF!</v>
      </c>
      <c r="DZ79" t="e">
        <f>AND(#REF!,"AAAAAH3794E=")</f>
        <v>#REF!</v>
      </c>
      <c r="EA79" t="e">
        <f>AND(#REF!,"AAAAAH3794I=")</f>
        <v>#REF!</v>
      </c>
      <c r="EB79" t="e">
        <f>AND(#REF!,"AAAAAH3794M=")</f>
        <v>#REF!</v>
      </c>
      <c r="EC79" t="e">
        <f>IF(#REF!,"AAAAAH3794Q=",0)</f>
        <v>#REF!</v>
      </c>
      <c r="ED79" t="e">
        <f>AND(#REF!,"AAAAAH3794U=")</f>
        <v>#REF!</v>
      </c>
      <c r="EE79" t="e">
        <f>AND(#REF!,"AAAAAH3794Y=")</f>
        <v>#REF!</v>
      </c>
      <c r="EF79" t="e">
        <f>AND(#REF!,"AAAAAH3794c=")</f>
        <v>#REF!</v>
      </c>
      <c r="EG79" t="e">
        <f>AND(#REF!,"AAAAAH3794g=")</f>
        <v>#REF!</v>
      </c>
      <c r="EH79" t="e">
        <f>AND(#REF!,"AAAAAH3794k=")</f>
        <v>#REF!</v>
      </c>
      <c r="EI79" t="e">
        <f>AND(#REF!,"AAAAAH3794o=")</f>
        <v>#REF!</v>
      </c>
      <c r="EJ79" t="e">
        <f>AND(#REF!,"AAAAAH3794s=")</f>
        <v>#REF!</v>
      </c>
      <c r="EK79" t="e">
        <f>AND(#REF!,"AAAAAH3794w=")</f>
        <v>#REF!</v>
      </c>
      <c r="EL79" t="e">
        <f>AND(#REF!,"AAAAAH37940=")</f>
        <v>#REF!</v>
      </c>
      <c r="EM79" t="e">
        <f>AND(#REF!,"AAAAAH37944=")</f>
        <v>#REF!</v>
      </c>
      <c r="EN79" t="e">
        <f>AND(#REF!,"AAAAAH37948=")</f>
        <v>#REF!</v>
      </c>
      <c r="EO79" t="e">
        <f>AND(#REF!,"AAAAAH3795A=")</f>
        <v>#REF!</v>
      </c>
      <c r="EP79" t="e">
        <f>AND(#REF!,"AAAAAH3795E=")</f>
        <v>#REF!</v>
      </c>
      <c r="EQ79" t="e">
        <f>AND(#REF!,"AAAAAH3795I=")</f>
        <v>#REF!</v>
      </c>
      <c r="ER79" t="e">
        <f>AND(#REF!,"AAAAAH3795M=")</f>
        <v>#REF!</v>
      </c>
      <c r="ES79" t="e">
        <f>AND(#REF!,"AAAAAH3795Q=")</f>
        <v>#REF!</v>
      </c>
      <c r="ET79" t="e">
        <f>AND(#REF!,"AAAAAH3795U=")</f>
        <v>#REF!</v>
      </c>
      <c r="EU79" t="e">
        <f>AND(#REF!,"AAAAAH3795Y=")</f>
        <v>#REF!</v>
      </c>
      <c r="EV79" t="e">
        <f>AND(#REF!,"AAAAAH3795c=")</f>
        <v>#REF!</v>
      </c>
      <c r="EW79" t="e">
        <f>AND(#REF!,"AAAAAH3795g=")</f>
        <v>#REF!</v>
      </c>
      <c r="EX79" t="e">
        <f>AND(#REF!,"AAAAAH3795k=")</f>
        <v>#REF!</v>
      </c>
      <c r="EY79" t="e">
        <f>AND(#REF!,"AAAAAH3795o=")</f>
        <v>#REF!</v>
      </c>
      <c r="EZ79" t="e">
        <f>AND(#REF!,"AAAAAH3795s=")</f>
        <v>#REF!</v>
      </c>
      <c r="FA79" t="e">
        <f>AND(#REF!,"AAAAAH3795w=")</f>
        <v>#REF!</v>
      </c>
      <c r="FB79" t="e">
        <f>AND(#REF!,"AAAAAH37950=")</f>
        <v>#REF!</v>
      </c>
      <c r="FC79" t="e">
        <f>AND(#REF!,"AAAAAH37954=")</f>
        <v>#REF!</v>
      </c>
      <c r="FD79" t="e">
        <f>AND(#REF!,"AAAAAH37958=")</f>
        <v>#REF!</v>
      </c>
      <c r="FE79" t="e">
        <f>AND(#REF!,"AAAAAH3796A=")</f>
        <v>#REF!</v>
      </c>
      <c r="FF79" t="e">
        <f>AND(#REF!,"AAAAAH3796E=")</f>
        <v>#REF!</v>
      </c>
      <c r="FG79" t="e">
        <f>AND(#REF!,"AAAAAH3796I=")</f>
        <v>#REF!</v>
      </c>
      <c r="FH79" t="e">
        <f>AND(#REF!,"AAAAAH3796M=")</f>
        <v>#REF!</v>
      </c>
      <c r="FI79" t="e">
        <f>AND(#REF!,"AAAAAH3796Q=")</f>
        <v>#REF!</v>
      </c>
      <c r="FJ79" t="e">
        <f>AND(#REF!,"AAAAAH3796U=")</f>
        <v>#REF!</v>
      </c>
      <c r="FK79" t="e">
        <f>AND(#REF!,"AAAAAH3796Y=")</f>
        <v>#REF!</v>
      </c>
      <c r="FL79" t="e">
        <f>AND(#REF!,"AAAAAH3796c=")</f>
        <v>#REF!</v>
      </c>
      <c r="FM79" t="e">
        <f>AND(#REF!,"AAAAAH3796g=")</f>
        <v>#REF!</v>
      </c>
      <c r="FN79" t="e">
        <f>AND(#REF!,"AAAAAH3796k=")</f>
        <v>#REF!</v>
      </c>
      <c r="FO79" t="e">
        <f>AND(#REF!,"AAAAAH3796o=")</f>
        <v>#REF!</v>
      </c>
      <c r="FP79" t="e">
        <f>AND(#REF!,"AAAAAH3796s=")</f>
        <v>#REF!</v>
      </c>
      <c r="FQ79" t="e">
        <f>AND(#REF!,"AAAAAH3796w=")</f>
        <v>#REF!</v>
      </c>
      <c r="FR79" t="e">
        <f>AND(#REF!,"AAAAAH37960=")</f>
        <v>#REF!</v>
      </c>
      <c r="FS79" t="e">
        <f>AND(#REF!,"AAAAAH37964=")</f>
        <v>#REF!</v>
      </c>
      <c r="FT79" t="e">
        <f>AND(#REF!,"AAAAAH37968=")</f>
        <v>#REF!</v>
      </c>
      <c r="FU79" t="e">
        <f>AND(#REF!,"AAAAAH3797A=")</f>
        <v>#REF!</v>
      </c>
      <c r="FV79" t="e">
        <f>AND(#REF!,"AAAAAH3797E=")</f>
        <v>#REF!</v>
      </c>
      <c r="FW79" t="e">
        <f>AND(#REF!,"AAAAAH3797I=")</f>
        <v>#REF!</v>
      </c>
      <c r="FX79" t="e">
        <f>AND(#REF!,"AAAAAH3797M=")</f>
        <v>#REF!</v>
      </c>
      <c r="FY79" t="e">
        <f>AND(#REF!,"AAAAAH3797Q=")</f>
        <v>#REF!</v>
      </c>
      <c r="FZ79" t="e">
        <f>AND(#REF!,"AAAAAH3797U=")</f>
        <v>#REF!</v>
      </c>
      <c r="GA79" t="e">
        <f>AND(#REF!,"AAAAAH3797Y=")</f>
        <v>#REF!</v>
      </c>
      <c r="GB79" t="e">
        <f>AND(#REF!,"AAAAAH3797c=")</f>
        <v>#REF!</v>
      </c>
      <c r="GC79" t="e">
        <f>AND(#REF!,"AAAAAH3797g=")</f>
        <v>#REF!</v>
      </c>
      <c r="GD79" t="e">
        <f>AND(#REF!,"AAAAAH3797k=")</f>
        <v>#REF!</v>
      </c>
      <c r="GE79" t="e">
        <f>AND(#REF!,"AAAAAH3797o=")</f>
        <v>#REF!</v>
      </c>
      <c r="GF79" t="e">
        <f>AND(#REF!,"AAAAAH3797s=")</f>
        <v>#REF!</v>
      </c>
      <c r="GG79" t="e">
        <f>AND(#REF!,"AAAAAH3797w=")</f>
        <v>#REF!</v>
      </c>
      <c r="GH79" t="e">
        <f>AND(#REF!,"AAAAAH37970=")</f>
        <v>#REF!</v>
      </c>
      <c r="GI79" t="e">
        <f>AND(#REF!,"AAAAAH37974=")</f>
        <v>#REF!</v>
      </c>
      <c r="GJ79" t="e">
        <f>AND(#REF!,"AAAAAH37978=")</f>
        <v>#REF!</v>
      </c>
      <c r="GK79" t="e">
        <f>AND(#REF!,"AAAAAH3798A=")</f>
        <v>#REF!</v>
      </c>
      <c r="GL79" t="e">
        <f>AND(#REF!,"AAAAAH3798E=")</f>
        <v>#REF!</v>
      </c>
      <c r="GM79" t="e">
        <f>AND(#REF!,"AAAAAH3798I=")</f>
        <v>#REF!</v>
      </c>
      <c r="GN79" t="e">
        <f>AND(#REF!,"AAAAAH3798M=")</f>
        <v>#REF!</v>
      </c>
      <c r="GO79" t="e">
        <f>AND(#REF!,"AAAAAH3798Q=")</f>
        <v>#REF!</v>
      </c>
      <c r="GP79" t="e">
        <f>AND(#REF!,"AAAAAH3798U=")</f>
        <v>#REF!</v>
      </c>
      <c r="GQ79" t="e">
        <f>AND(#REF!,"AAAAAH3798Y=")</f>
        <v>#REF!</v>
      </c>
      <c r="GR79" t="e">
        <f>AND(#REF!,"AAAAAH3798c=")</f>
        <v>#REF!</v>
      </c>
      <c r="GS79" t="e">
        <f>AND(#REF!,"AAAAAH3798g=")</f>
        <v>#REF!</v>
      </c>
      <c r="GT79" t="e">
        <f>AND(#REF!,"AAAAAH3798k=")</f>
        <v>#REF!</v>
      </c>
      <c r="GU79" t="e">
        <f>AND(#REF!,"AAAAAH3798o=")</f>
        <v>#REF!</v>
      </c>
      <c r="GV79" t="e">
        <f>AND(#REF!,"AAAAAH3798s=")</f>
        <v>#REF!</v>
      </c>
      <c r="GW79" t="e">
        <f>AND(#REF!,"AAAAAH3798w=")</f>
        <v>#REF!</v>
      </c>
      <c r="GX79" t="e">
        <f>AND(#REF!,"AAAAAH37980=")</f>
        <v>#REF!</v>
      </c>
      <c r="GY79" t="e">
        <f>AND(#REF!,"AAAAAH37984=")</f>
        <v>#REF!</v>
      </c>
      <c r="GZ79" t="e">
        <f>IF(#REF!,"AAAAAH37988=",0)</f>
        <v>#REF!</v>
      </c>
      <c r="HA79" t="e">
        <f>AND(#REF!,"AAAAAH3799A=")</f>
        <v>#REF!</v>
      </c>
      <c r="HB79" t="e">
        <f>AND(#REF!,"AAAAAH3799E=")</f>
        <v>#REF!</v>
      </c>
      <c r="HC79" t="e">
        <f>AND(#REF!,"AAAAAH3799I=")</f>
        <v>#REF!</v>
      </c>
      <c r="HD79" t="e">
        <f>AND(#REF!,"AAAAAH3799M=")</f>
        <v>#REF!</v>
      </c>
      <c r="HE79" t="e">
        <f>AND(#REF!,"AAAAAH3799Q=")</f>
        <v>#REF!</v>
      </c>
      <c r="HF79" t="e">
        <f>AND(#REF!,"AAAAAH3799U=")</f>
        <v>#REF!</v>
      </c>
      <c r="HG79" t="e">
        <f>AND(#REF!,"AAAAAH3799Y=")</f>
        <v>#REF!</v>
      </c>
      <c r="HH79" t="e">
        <f>AND(#REF!,"AAAAAH3799c=")</f>
        <v>#REF!</v>
      </c>
      <c r="HI79" t="e">
        <f>AND(#REF!,"AAAAAH3799g=")</f>
        <v>#REF!</v>
      </c>
      <c r="HJ79" t="e">
        <f>AND(#REF!,"AAAAAH3799k=")</f>
        <v>#REF!</v>
      </c>
      <c r="HK79" t="e">
        <f>AND(#REF!,"AAAAAH3799o=")</f>
        <v>#REF!</v>
      </c>
      <c r="HL79" t="e">
        <f>AND(#REF!,"AAAAAH3799s=")</f>
        <v>#REF!</v>
      </c>
      <c r="HM79" t="e">
        <f>AND(#REF!,"AAAAAH3799w=")</f>
        <v>#REF!</v>
      </c>
      <c r="HN79" t="e">
        <f>AND(#REF!,"AAAAAH37990=")</f>
        <v>#REF!</v>
      </c>
      <c r="HO79" t="e">
        <f>AND(#REF!,"AAAAAH37994=")</f>
        <v>#REF!</v>
      </c>
      <c r="HP79" t="e">
        <f>AND(#REF!,"AAAAAH37998=")</f>
        <v>#REF!</v>
      </c>
      <c r="HQ79" t="e">
        <f>AND(#REF!,"AAAAAH379+A=")</f>
        <v>#REF!</v>
      </c>
      <c r="HR79" t="e">
        <f>AND(#REF!,"AAAAAH379+E=")</f>
        <v>#REF!</v>
      </c>
      <c r="HS79" t="e">
        <f>AND(#REF!,"AAAAAH379+I=")</f>
        <v>#REF!</v>
      </c>
      <c r="HT79" t="e">
        <f>AND(#REF!,"AAAAAH379+M=")</f>
        <v>#REF!</v>
      </c>
      <c r="HU79" t="e">
        <f>AND(#REF!,"AAAAAH379+Q=")</f>
        <v>#REF!</v>
      </c>
      <c r="HV79" t="e">
        <f>AND(#REF!,"AAAAAH379+U=")</f>
        <v>#REF!</v>
      </c>
      <c r="HW79" t="e">
        <f>AND(#REF!,"AAAAAH379+Y=")</f>
        <v>#REF!</v>
      </c>
      <c r="HX79" t="e">
        <f>AND(#REF!,"AAAAAH379+c=")</f>
        <v>#REF!</v>
      </c>
      <c r="HY79" t="e">
        <f>AND(#REF!,"AAAAAH379+g=")</f>
        <v>#REF!</v>
      </c>
      <c r="HZ79" t="e">
        <f>AND(#REF!,"AAAAAH379+k=")</f>
        <v>#REF!</v>
      </c>
      <c r="IA79" t="e">
        <f>AND(#REF!,"AAAAAH379+o=")</f>
        <v>#REF!</v>
      </c>
      <c r="IB79" t="e">
        <f>AND(#REF!,"AAAAAH379+s=")</f>
        <v>#REF!</v>
      </c>
      <c r="IC79" t="e">
        <f>AND(#REF!,"AAAAAH379+w=")</f>
        <v>#REF!</v>
      </c>
      <c r="ID79" t="e">
        <f>AND(#REF!,"AAAAAH379+0=")</f>
        <v>#REF!</v>
      </c>
      <c r="IE79" t="e">
        <f>AND(#REF!,"AAAAAH379+4=")</f>
        <v>#REF!</v>
      </c>
      <c r="IF79" t="e">
        <f>AND(#REF!,"AAAAAH379+8=")</f>
        <v>#REF!</v>
      </c>
      <c r="IG79" t="e">
        <f>AND(#REF!,"AAAAAH379/A=")</f>
        <v>#REF!</v>
      </c>
      <c r="IH79" t="e">
        <f>AND(#REF!,"AAAAAH379/E=")</f>
        <v>#REF!</v>
      </c>
      <c r="II79" t="e">
        <f>AND(#REF!,"AAAAAH379/I=")</f>
        <v>#REF!</v>
      </c>
      <c r="IJ79" t="e">
        <f>AND(#REF!,"AAAAAH379/M=")</f>
        <v>#REF!</v>
      </c>
      <c r="IK79" t="e">
        <f>AND(#REF!,"AAAAAH379/Q=")</f>
        <v>#REF!</v>
      </c>
      <c r="IL79" t="e">
        <f>AND(#REF!,"AAAAAH379/U=")</f>
        <v>#REF!</v>
      </c>
      <c r="IM79" t="e">
        <f>AND(#REF!,"AAAAAH379/Y=")</f>
        <v>#REF!</v>
      </c>
      <c r="IN79" t="e">
        <f>AND(#REF!,"AAAAAH379/c=")</f>
        <v>#REF!</v>
      </c>
      <c r="IO79" t="e">
        <f>AND(#REF!,"AAAAAH379/g=")</f>
        <v>#REF!</v>
      </c>
      <c r="IP79" t="e">
        <f>AND(#REF!,"AAAAAH379/k=")</f>
        <v>#REF!</v>
      </c>
      <c r="IQ79" t="e">
        <f>AND(#REF!,"AAAAAH379/o=")</f>
        <v>#REF!</v>
      </c>
      <c r="IR79" t="e">
        <f>AND(#REF!,"AAAAAH379/s=")</f>
        <v>#REF!</v>
      </c>
      <c r="IS79" t="e">
        <f>AND(#REF!,"AAAAAH379/w=")</f>
        <v>#REF!</v>
      </c>
      <c r="IT79" t="e">
        <f>AND(#REF!,"AAAAAH379/0=")</f>
        <v>#REF!</v>
      </c>
      <c r="IU79" t="e">
        <f>AND(#REF!,"AAAAAH379/4=")</f>
        <v>#REF!</v>
      </c>
      <c r="IV79" t="e">
        <f>AND(#REF!,"AAAAAH379/8=")</f>
        <v>#REF!</v>
      </c>
    </row>
    <row r="80" spans="1:256" x14ac:dyDescent="0.2">
      <c r="A80" t="e">
        <f>AND(#REF!,"AAAAABup/wA=")</f>
        <v>#REF!</v>
      </c>
      <c r="B80" t="e">
        <f>AND(#REF!,"AAAAABup/wE=")</f>
        <v>#REF!</v>
      </c>
      <c r="C80" t="e">
        <f>AND(#REF!,"AAAAABup/wI=")</f>
        <v>#REF!</v>
      </c>
      <c r="D80" t="e">
        <f>AND(#REF!,"AAAAABup/wM=")</f>
        <v>#REF!</v>
      </c>
      <c r="E80" t="e">
        <f>AND(#REF!,"AAAAABup/wQ=")</f>
        <v>#REF!</v>
      </c>
      <c r="F80" t="e">
        <f>AND(#REF!,"AAAAABup/wU=")</f>
        <v>#REF!</v>
      </c>
      <c r="G80" t="e">
        <f>AND(#REF!,"AAAAABup/wY=")</f>
        <v>#REF!</v>
      </c>
      <c r="H80" t="e">
        <f>AND(#REF!,"AAAAABup/wc=")</f>
        <v>#REF!</v>
      </c>
      <c r="I80" t="e">
        <f>AND(#REF!,"AAAAABup/wg=")</f>
        <v>#REF!</v>
      </c>
      <c r="J80" t="e">
        <f>AND(#REF!,"AAAAABup/wk=")</f>
        <v>#REF!</v>
      </c>
      <c r="K80" t="e">
        <f>AND(#REF!,"AAAAABup/wo=")</f>
        <v>#REF!</v>
      </c>
      <c r="L80" t="e">
        <f>AND(#REF!,"AAAAABup/ws=")</f>
        <v>#REF!</v>
      </c>
      <c r="M80" t="e">
        <f>AND(#REF!,"AAAAABup/ww=")</f>
        <v>#REF!</v>
      </c>
      <c r="N80" t="e">
        <f>AND(#REF!,"AAAAABup/w0=")</f>
        <v>#REF!</v>
      </c>
      <c r="O80" t="e">
        <f>AND(#REF!,"AAAAABup/w4=")</f>
        <v>#REF!</v>
      </c>
      <c r="P80" t="e">
        <f>AND(#REF!,"AAAAABup/w8=")</f>
        <v>#REF!</v>
      </c>
      <c r="Q80" t="e">
        <f>AND(#REF!,"AAAAABup/xA=")</f>
        <v>#REF!</v>
      </c>
      <c r="R80" t="e">
        <f>AND(#REF!,"AAAAABup/xE=")</f>
        <v>#REF!</v>
      </c>
      <c r="S80" t="e">
        <f>AND(#REF!,"AAAAABup/xI=")</f>
        <v>#REF!</v>
      </c>
      <c r="T80" t="e">
        <f>AND(#REF!,"AAAAABup/xM=")</f>
        <v>#REF!</v>
      </c>
      <c r="U80" t="e">
        <f>AND(#REF!,"AAAAABup/xQ=")</f>
        <v>#REF!</v>
      </c>
      <c r="V80" t="e">
        <f>AND(#REF!,"AAAAABup/xU=")</f>
        <v>#REF!</v>
      </c>
      <c r="W80" t="e">
        <f>AND(#REF!,"AAAAABup/xY=")</f>
        <v>#REF!</v>
      </c>
      <c r="X80" t="e">
        <f>AND(#REF!,"AAAAABup/xc=")</f>
        <v>#REF!</v>
      </c>
      <c r="Y80" t="e">
        <f>AND(#REF!,"AAAAABup/xg=")</f>
        <v>#REF!</v>
      </c>
      <c r="Z80" t="e">
        <f>AND(#REF!,"AAAAABup/xk=")</f>
        <v>#REF!</v>
      </c>
      <c r="AA80" t="e">
        <f>IF(#REF!,"AAAAABup/xo=",0)</f>
        <v>#REF!</v>
      </c>
      <c r="AB80" t="e">
        <f>AND(#REF!,"AAAAABup/xs=")</f>
        <v>#REF!</v>
      </c>
      <c r="AC80" t="e">
        <f>AND(#REF!,"AAAAABup/xw=")</f>
        <v>#REF!</v>
      </c>
      <c r="AD80" t="e">
        <f>AND(#REF!,"AAAAABup/x0=")</f>
        <v>#REF!</v>
      </c>
      <c r="AE80" t="e">
        <f>AND(#REF!,"AAAAABup/x4=")</f>
        <v>#REF!</v>
      </c>
      <c r="AF80" t="e">
        <f>AND(#REF!,"AAAAABup/x8=")</f>
        <v>#REF!</v>
      </c>
      <c r="AG80" t="e">
        <f>AND(#REF!,"AAAAABup/yA=")</f>
        <v>#REF!</v>
      </c>
      <c r="AH80" t="e">
        <f>AND(#REF!,"AAAAABup/yE=")</f>
        <v>#REF!</v>
      </c>
      <c r="AI80" t="e">
        <f>AND(#REF!,"AAAAABup/yI=")</f>
        <v>#REF!</v>
      </c>
      <c r="AJ80" t="e">
        <f>AND(#REF!,"AAAAABup/yM=")</f>
        <v>#REF!</v>
      </c>
      <c r="AK80" t="e">
        <f>AND(#REF!,"AAAAABup/yQ=")</f>
        <v>#REF!</v>
      </c>
      <c r="AL80" t="e">
        <f>AND(#REF!,"AAAAABup/yU=")</f>
        <v>#REF!</v>
      </c>
      <c r="AM80" t="e">
        <f>AND(#REF!,"AAAAABup/yY=")</f>
        <v>#REF!</v>
      </c>
      <c r="AN80" t="e">
        <f>AND(#REF!,"AAAAABup/yc=")</f>
        <v>#REF!</v>
      </c>
      <c r="AO80" t="e">
        <f>AND(#REF!,"AAAAABup/yg=")</f>
        <v>#REF!</v>
      </c>
      <c r="AP80" t="e">
        <f>AND(#REF!,"AAAAABup/yk=")</f>
        <v>#REF!</v>
      </c>
      <c r="AQ80" t="e">
        <f>AND(#REF!,"AAAAABup/yo=")</f>
        <v>#REF!</v>
      </c>
      <c r="AR80" t="e">
        <f>AND(#REF!,"AAAAABup/ys=")</f>
        <v>#REF!</v>
      </c>
      <c r="AS80" t="e">
        <f>AND(#REF!,"AAAAABup/yw=")</f>
        <v>#REF!</v>
      </c>
      <c r="AT80" t="e">
        <f>AND(#REF!,"AAAAABup/y0=")</f>
        <v>#REF!</v>
      </c>
      <c r="AU80" t="e">
        <f>AND(#REF!,"AAAAABup/y4=")</f>
        <v>#REF!</v>
      </c>
      <c r="AV80" t="e">
        <f>AND(#REF!,"AAAAABup/y8=")</f>
        <v>#REF!</v>
      </c>
      <c r="AW80" t="e">
        <f>AND(#REF!,"AAAAABup/zA=")</f>
        <v>#REF!</v>
      </c>
      <c r="AX80" t="e">
        <f>AND(#REF!,"AAAAABup/zE=")</f>
        <v>#REF!</v>
      </c>
      <c r="AY80" t="e">
        <f>AND(#REF!,"AAAAABup/zI=")</f>
        <v>#REF!</v>
      </c>
      <c r="AZ80" t="e">
        <f>AND(#REF!,"AAAAABup/zM=")</f>
        <v>#REF!</v>
      </c>
      <c r="BA80" t="e">
        <f>AND(#REF!,"AAAAABup/zQ=")</f>
        <v>#REF!</v>
      </c>
      <c r="BB80" t="e">
        <f>AND(#REF!,"AAAAABup/zU=")</f>
        <v>#REF!</v>
      </c>
      <c r="BC80" t="e">
        <f>AND(#REF!,"AAAAABup/zY=")</f>
        <v>#REF!</v>
      </c>
      <c r="BD80" t="e">
        <f>AND(#REF!,"AAAAABup/zc=")</f>
        <v>#REF!</v>
      </c>
      <c r="BE80" t="e">
        <f>AND(#REF!,"AAAAABup/zg=")</f>
        <v>#REF!</v>
      </c>
      <c r="BF80" t="e">
        <f>AND(#REF!,"AAAAABup/zk=")</f>
        <v>#REF!</v>
      </c>
      <c r="BG80" t="e">
        <f>AND(#REF!,"AAAAABup/zo=")</f>
        <v>#REF!</v>
      </c>
      <c r="BH80" t="e">
        <f>AND(#REF!,"AAAAABup/zs=")</f>
        <v>#REF!</v>
      </c>
      <c r="BI80" t="e">
        <f>AND(#REF!,"AAAAABup/zw=")</f>
        <v>#REF!</v>
      </c>
      <c r="BJ80" t="e">
        <f>AND(#REF!,"AAAAABup/z0=")</f>
        <v>#REF!</v>
      </c>
      <c r="BK80" t="e">
        <f>AND(#REF!,"AAAAABup/z4=")</f>
        <v>#REF!</v>
      </c>
      <c r="BL80" t="e">
        <f>AND(#REF!,"AAAAABup/z8=")</f>
        <v>#REF!</v>
      </c>
      <c r="BM80" t="e">
        <f>AND(#REF!,"AAAAABup/0A=")</f>
        <v>#REF!</v>
      </c>
      <c r="BN80" t="e">
        <f>AND(#REF!,"AAAAABup/0E=")</f>
        <v>#REF!</v>
      </c>
      <c r="BO80" t="e">
        <f>AND(#REF!,"AAAAABup/0I=")</f>
        <v>#REF!</v>
      </c>
      <c r="BP80" t="e">
        <f>AND(#REF!,"AAAAABup/0M=")</f>
        <v>#REF!</v>
      </c>
      <c r="BQ80" t="e">
        <f>AND(#REF!,"AAAAABup/0Q=")</f>
        <v>#REF!</v>
      </c>
      <c r="BR80" t="e">
        <f>AND(#REF!,"AAAAABup/0U=")</f>
        <v>#REF!</v>
      </c>
      <c r="BS80" t="e">
        <f>AND(#REF!,"AAAAABup/0Y=")</f>
        <v>#REF!</v>
      </c>
      <c r="BT80" t="e">
        <f>AND(#REF!,"AAAAABup/0c=")</f>
        <v>#REF!</v>
      </c>
      <c r="BU80" t="e">
        <f>AND(#REF!,"AAAAABup/0g=")</f>
        <v>#REF!</v>
      </c>
      <c r="BV80" t="e">
        <f>AND(#REF!,"AAAAABup/0k=")</f>
        <v>#REF!</v>
      </c>
      <c r="BW80" t="e">
        <f>AND(#REF!,"AAAAABup/0o=")</f>
        <v>#REF!</v>
      </c>
      <c r="BX80" t="e">
        <f>AND(#REF!,"AAAAABup/0s=")</f>
        <v>#REF!</v>
      </c>
      <c r="BY80" t="e">
        <f>AND(#REF!,"AAAAABup/0w=")</f>
        <v>#REF!</v>
      </c>
      <c r="BZ80" t="e">
        <f>AND(#REF!,"AAAAABup/00=")</f>
        <v>#REF!</v>
      </c>
      <c r="CA80" t="e">
        <f>AND(#REF!,"AAAAABup/04=")</f>
        <v>#REF!</v>
      </c>
      <c r="CB80" t="e">
        <f>AND(#REF!,"AAAAABup/08=")</f>
        <v>#REF!</v>
      </c>
      <c r="CC80" t="e">
        <f>AND(#REF!,"AAAAABup/1A=")</f>
        <v>#REF!</v>
      </c>
      <c r="CD80" t="e">
        <f>AND(#REF!,"AAAAABup/1E=")</f>
        <v>#REF!</v>
      </c>
      <c r="CE80" t="e">
        <f>AND(#REF!,"AAAAABup/1I=")</f>
        <v>#REF!</v>
      </c>
      <c r="CF80" t="e">
        <f>AND(#REF!,"AAAAABup/1M=")</f>
        <v>#REF!</v>
      </c>
      <c r="CG80" t="e">
        <f>AND(#REF!,"AAAAABup/1Q=")</f>
        <v>#REF!</v>
      </c>
      <c r="CH80" t="e">
        <f>AND(#REF!,"AAAAABup/1U=")</f>
        <v>#REF!</v>
      </c>
      <c r="CI80" t="e">
        <f>AND(#REF!,"AAAAABup/1Y=")</f>
        <v>#REF!</v>
      </c>
      <c r="CJ80" t="e">
        <f>AND(#REF!,"AAAAABup/1c=")</f>
        <v>#REF!</v>
      </c>
      <c r="CK80" t="e">
        <f>AND(#REF!,"AAAAABup/1g=")</f>
        <v>#REF!</v>
      </c>
      <c r="CL80" t="e">
        <f>AND(#REF!,"AAAAABup/1k=")</f>
        <v>#REF!</v>
      </c>
      <c r="CM80" t="e">
        <f>AND(#REF!,"AAAAABup/1o=")</f>
        <v>#REF!</v>
      </c>
      <c r="CN80" t="e">
        <f>AND(#REF!,"AAAAABup/1s=")</f>
        <v>#REF!</v>
      </c>
      <c r="CO80" t="e">
        <f>AND(#REF!,"AAAAABup/1w=")</f>
        <v>#REF!</v>
      </c>
      <c r="CP80" t="e">
        <f>AND(#REF!,"AAAAABup/10=")</f>
        <v>#REF!</v>
      </c>
      <c r="CQ80" t="e">
        <f>AND(#REF!,"AAAAABup/14=")</f>
        <v>#REF!</v>
      </c>
      <c r="CR80" t="e">
        <f>AND(#REF!,"AAAAABup/18=")</f>
        <v>#REF!</v>
      </c>
      <c r="CS80" t="e">
        <f>AND(#REF!,"AAAAABup/2A=")</f>
        <v>#REF!</v>
      </c>
      <c r="CT80" t="e">
        <f>AND(#REF!,"AAAAABup/2E=")</f>
        <v>#REF!</v>
      </c>
      <c r="CU80" t="e">
        <f>AND(#REF!,"AAAAABup/2I=")</f>
        <v>#REF!</v>
      </c>
      <c r="CV80" t="e">
        <f>AND(#REF!,"AAAAABup/2M=")</f>
        <v>#REF!</v>
      </c>
      <c r="CW80" t="e">
        <f>AND(#REF!,"AAAAABup/2Q=")</f>
        <v>#REF!</v>
      </c>
      <c r="CX80" t="e">
        <f>IF(#REF!,"AAAAABup/2U=",0)</f>
        <v>#REF!</v>
      </c>
      <c r="CY80" t="e">
        <f>AND(#REF!,"AAAAABup/2Y=")</f>
        <v>#REF!</v>
      </c>
      <c r="CZ80" t="e">
        <f>AND(#REF!,"AAAAABup/2c=")</f>
        <v>#REF!</v>
      </c>
      <c r="DA80" t="e">
        <f>AND(#REF!,"AAAAABup/2g=")</f>
        <v>#REF!</v>
      </c>
      <c r="DB80" t="e">
        <f>AND(#REF!,"AAAAABup/2k=")</f>
        <v>#REF!</v>
      </c>
      <c r="DC80" t="e">
        <f>AND(#REF!,"AAAAABup/2o=")</f>
        <v>#REF!</v>
      </c>
      <c r="DD80" t="e">
        <f>AND(#REF!,"AAAAABup/2s=")</f>
        <v>#REF!</v>
      </c>
      <c r="DE80" t="e">
        <f>AND(#REF!,"AAAAABup/2w=")</f>
        <v>#REF!</v>
      </c>
      <c r="DF80" t="e">
        <f>AND(#REF!,"AAAAABup/20=")</f>
        <v>#REF!</v>
      </c>
      <c r="DG80" t="e">
        <f>AND(#REF!,"AAAAABup/24=")</f>
        <v>#REF!</v>
      </c>
      <c r="DH80" t="e">
        <f>AND(#REF!,"AAAAABup/28=")</f>
        <v>#REF!</v>
      </c>
      <c r="DI80" t="e">
        <f>AND(#REF!,"AAAAABup/3A=")</f>
        <v>#REF!</v>
      </c>
      <c r="DJ80" t="e">
        <f>AND(#REF!,"AAAAABup/3E=")</f>
        <v>#REF!</v>
      </c>
      <c r="DK80" t="e">
        <f>AND(#REF!,"AAAAABup/3I=")</f>
        <v>#REF!</v>
      </c>
      <c r="DL80" t="e">
        <f>AND(#REF!,"AAAAABup/3M=")</f>
        <v>#REF!</v>
      </c>
      <c r="DM80" t="e">
        <f>AND(#REF!,"AAAAABup/3Q=")</f>
        <v>#REF!</v>
      </c>
      <c r="DN80" t="e">
        <f>AND(#REF!,"AAAAABup/3U=")</f>
        <v>#REF!</v>
      </c>
      <c r="DO80" t="e">
        <f>AND(#REF!,"AAAAABup/3Y=")</f>
        <v>#REF!</v>
      </c>
      <c r="DP80" t="e">
        <f>AND(#REF!,"AAAAABup/3c=")</f>
        <v>#REF!</v>
      </c>
      <c r="DQ80" t="e">
        <f>AND(#REF!,"AAAAABup/3g=")</f>
        <v>#REF!</v>
      </c>
      <c r="DR80" t="e">
        <f>AND(#REF!,"AAAAABup/3k=")</f>
        <v>#REF!</v>
      </c>
      <c r="DS80" t="e">
        <f>AND(#REF!,"AAAAABup/3o=")</f>
        <v>#REF!</v>
      </c>
      <c r="DT80" t="e">
        <f>AND(#REF!,"AAAAABup/3s=")</f>
        <v>#REF!</v>
      </c>
      <c r="DU80" t="e">
        <f>AND(#REF!,"AAAAABup/3w=")</f>
        <v>#REF!</v>
      </c>
      <c r="DV80" t="e">
        <f>AND(#REF!,"AAAAABup/30=")</f>
        <v>#REF!</v>
      </c>
      <c r="DW80" t="e">
        <f>AND(#REF!,"AAAAABup/34=")</f>
        <v>#REF!</v>
      </c>
      <c r="DX80" t="e">
        <f>AND(#REF!,"AAAAABup/38=")</f>
        <v>#REF!</v>
      </c>
      <c r="DY80" t="e">
        <f>AND(#REF!,"AAAAABup/4A=")</f>
        <v>#REF!</v>
      </c>
      <c r="DZ80" t="e">
        <f>AND(#REF!,"AAAAABup/4E=")</f>
        <v>#REF!</v>
      </c>
      <c r="EA80" t="e">
        <f>AND(#REF!,"AAAAABup/4I=")</f>
        <v>#REF!</v>
      </c>
      <c r="EB80" t="e">
        <f>AND(#REF!,"AAAAABup/4M=")</f>
        <v>#REF!</v>
      </c>
      <c r="EC80" t="e">
        <f>AND(#REF!,"AAAAABup/4Q=")</f>
        <v>#REF!</v>
      </c>
      <c r="ED80" t="e">
        <f>AND(#REF!,"AAAAABup/4U=")</f>
        <v>#REF!</v>
      </c>
      <c r="EE80" t="e">
        <f>AND(#REF!,"AAAAABup/4Y=")</f>
        <v>#REF!</v>
      </c>
      <c r="EF80" t="e">
        <f>AND(#REF!,"AAAAABup/4c=")</f>
        <v>#REF!</v>
      </c>
      <c r="EG80" t="e">
        <f>AND(#REF!,"AAAAABup/4g=")</f>
        <v>#REF!</v>
      </c>
      <c r="EH80" t="e">
        <f>AND(#REF!,"AAAAABup/4k=")</f>
        <v>#REF!</v>
      </c>
      <c r="EI80" t="e">
        <f>AND(#REF!,"AAAAABup/4o=")</f>
        <v>#REF!</v>
      </c>
      <c r="EJ80" t="e">
        <f>AND(#REF!,"AAAAABup/4s=")</f>
        <v>#REF!</v>
      </c>
      <c r="EK80" t="e">
        <f>AND(#REF!,"AAAAABup/4w=")</f>
        <v>#REF!</v>
      </c>
      <c r="EL80" t="e">
        <f>AND(#REF!,"AAAAABup/40=")</f>
        <v>#REF!</v>
      </c>
      <c r="EM80" t="e">
        <f>AND(#REF!,"AAAAABup/44=")</f>
        <v>#REF!</v>
      </c>
      <c r="EN80" t="e">
        <f>AND(#REF!,"AAAAABup/48=")</f>
        <v>#REF!</v>
      </c>
      <c r="EO80" t="e">
        <f>AND(#REF!,"AAAAABup/5A=")</f>
        <v>#REF!</v>
      </c>
      <c r="EP80" t="e">
        <f>AND(#REF!,"AAAAABup/5E=")</f>
        <v>#REF!</v>
      </c>
      <c r="EQ80" t="e">
        <f>AND(#REF!,"AAAAABup/5I=")</f>
        <v>#REF!</v>
      </c>
      <c r="ER80" t="e">
        <f>AND(#REF!,"AAAAABup/5M=")</f>
        <v>#REF!</v>
      </c>
      <c r="ES80" t="e">
        <f>AND(#REF!,"AAAAABup/5Q=")</f>
        <v>#REF!</v>
      </c>
      <c r="ET80" t="e">
        <f>AND(#REF!,"AAAAABup/5U=")</f>
        <v>#REF!</v>
      </c>
      <c r="EU80" t="e">
        <f>AND(#REF!,"AAAAABup/5Y=")</f>
        <v>#REF!</v>
      </c>
      <c r="EV80" t="e">
        <f>AND(#REF!,"AAAAABup/5c=")</f>
        <v>#REF!</v>
      </c>
      <c r="EW80" t="e">
        <f>AND(#REF!,"AAAAABup/5g=")</f>
        <v>#REF!</v>
      </c>
      <c r="EX80" t="e">
        <f>AND(#REF!,"AAAAABup/5k=")</f>
        <v>#REF!</v>
      </c>
      <c r="EY80" t="e">
        <f>AND(#REF!,"AAAAABup/5o=")</f>
        <v>#REF!</v>
      </c>
      <c r="EZ80" t="e">
        <f>AND(#REF!,"AAAAABup/5s=")</f>
        <v>#REF!</v>
      </c>
      <c r="FA80" t="e">
        <f>AND(#REF!,"AAAAABup/5w=")</f>
        <v>#REF!</v>
      </c>
      <c r="FB80" t="e">
        <f>AND(#REF!,"AAAAABup/50=")</f>
        <v>#REF!</v>
      </c>
      <c r="FC80" t="e">
        <f>AND(#REF!,"AAAAABup/54=")</f>
        <v>#REF!</v>
      </c>
      <c r="FD80" t="e">
        <f>AND(#REF!,"AAAAABup/58=")</f>
        <v>#REF!</v>
      </c>
      <c r="FE80" t="e">
        <f>AND(#REF!,"AAAAABup/6A=")</f>
        <v>#REF!</v>
      </c>
      <c r="FF80" t="e">
        <f>AND(#REF!,"AAAAABup/6E=")</f>
        <v>#REF!</v>
      </c>
      <c r="FG80" t="e">
        <f>AND(#REF!,"AAAAABup/6I=")</f>
        <v>#REF!</v>
      </c>
      <c r="FH80" t="e">
        <f>AND(#REF!,"AAAAABup/6M=")</f>
        <v>#REF!</v>
      </c>
      <c r="FI80" t="e">
        <f>AND(#REF!,"AAAAABup/6Q=")</f>
        <v>#REF!</v>
      </c>
      <c r="FJ80" t="e">
        <f>AND(#REF!,"AAAAABup/6U=")</f>
        <v>#REF!</v>
      </c>
      <c r="FK80" t="e">
        <f>AND(#REF!,"AAAAABup/6Y=")</f>
        <v>#REF!</v>
      </c>
      <c r="FL80" t="e">
        <f>AND(#REF!,"AAAAABup/6c=")</f>
        <v>#REF!</v>
      </c>
      <c r="FM80" t="e">
        <f>AND(#REF!,"AAAAABup/6g=")</f>
        <v>#REF!</v>
      </c>
      <c r="FN80" t="e">
        <f>AND(#REF!,"AAAAABup/6k=")</f>
        <v>#REF!</v>
      </c>
      <c r="FO80" t="e">
        <f>AND(#REF!,"AAAAABup/6o=")</f>
        <v>#REF!</v>
      </c>
      <c r="FP80" t="e">
        <f>AND(#REF!,"AAAAABup/6s=")</f>
        <v>#REF!</v>
      </c>
      <c r="FQ80" t="e">
        <f>AND(#REF!,"AAAAABup/6w=")</f>
        <v>#REF!</v>
      </c>
      <c r="FR80" t="e">
        <f>AND(#REF!,"AAAAABup/60=")</f>
        <v>#REF!</v>
      </c>
      <c r="FS80" t="e">
        <f>AND(#REF!,"AAAAABup/64=")</f>
        <v>#REF!</v>
      </c>
      <c r="FT80" t="e">
        <f>AND(#REF!,"AAAAABup/68=")</f>
        <v>#REF!</v>
      </c>
      <c r="FU80" t="e">
        <f>IF(#REF!,"AAAAABup/7A=",0)</f>
        <v>#REF!</v>
      </c>
      <c r="FV80" t="e">
        <f>AND(#REF!,"AAAAABup/7E=")</f>
        <v>#REF!</v>
      </c>
      <c r="FW80" t="e">
        <f>AND(#REF!,"AAAAABup/7I=")</f>
        <v>#REF!</v>
      </c>
      <c r="FX80" t="e">
        <f>AND(#REF!,"AAAAABup/7M=")</f>
        <v>#REF!</v>
      </c>
      <c r="FY80" t="e">
        <f>AND(#REF!,"AAAAABup/7Q=")</f>
        <v>#REF!</v>
      </c>
      <c r="FZ80" t="e">
        <f>AND(#REF!,"AAAAABup/7U=")</f>
        <v>#REF!</v>
      </c>
      <c r="GA80" t="e">
        <f>AND(#REF!,"AAAAABup/7Y=")</f>
        <v>#REF!</v>
      </c>
      <c r="GB80" t="e">
        <f>AND(#REF!,"AAAAABup/7c=")</f>
        <v>#REF!</v>
      </c>
      <c r="GC80" t="e">
        <f>AND(#REF!,"AAAAABup/7g=")</f>
        <v>#REF!</v>
      </c>
      <c r="GD80" t="e">
        <f>AND(#REF!,"AAAAABup/7k=")</f>
        <v>#REF!</v>
      </c>
      <c r="GE80" t="e">
        <f>AND(#REF!,"AAAAABup/7o=")</f>
        <v>#REF!</v>
      </c>
      <c r="GF80" t="e">
        <f>AND(#REF!,"AAAAABup/7s=")</f>
        <v>#REF!</v>
      </c>
      <c r="GG80" t="e">
        <f>AND(#REF!,"AAAAABup/7w=")</f>
        <v>#REF!</v>
      </c>
      <c r="GH80" t="e">
        <f>AND(#REF!,"AAAAABup/70=")</f>
        <v>#REF!</v>
      </c>
      <c r="GI80" t="e">
        <f>AND(#REF!,"AAAAABup/74=")</f>
        <v>#REF!</v>
      </c>
      <c r="GJ80" t="e">
        <f>AND(#REF!,"AAAAABup/78=")</f>
        <v>#REF!</v>
      </c>
      <c r="GK80" t="e">
        <f>AND(#REF!,"AAAAABup/8A=")</f>
        <v>#REF!</v>
      </c>
      <c r="GL80" t="e">
        <f>AND(#REF!,"AAAAABup/8E=")</f>
        <v>#REF!</v>
      </c>
      <c r="GM80" t="e">
        <f>AND(#REF!,"AAAAABup/8I=")</f>
        <v>#REF!</v>
      </c>
      <c r="GN80" t="e">
        <f>AND(#REF!,"AAAAABup/8M=")</f>
        <v>#REF!</v>
      </c>
      <c r="GO80" t="e">
        <f>AND(#REF!,"AAAAABup/8Q=")</f>
        <v>#REF!</v>
      </c>
      <c r="GP80" t="e">
        <f>AND(#REF!,"AAAAABup/8U=")</f>
        <v>#REF!</v>
      </c>
      <c r="GQ80" t="e">
        <f>AND(#REF!,"AAAAABup/8Y=")</f>
        <v>#REF!</v>
      </c>
      <c r="GR80" t="e">
        <f>AND(#REF!,"AAAAABup/8c=")</f>
        <v>#REF!</v>
      </c>
      <c r="GS80" t="e">
        <f>AND(#REF!,"AAAAABup/8g=")</f>
        <v>#REF!</v>
      </c>
      <c r="GT80" t="e">
        <f>AND(#REF!,"AAAAABup/8k=")</f>
        <v>#REF!</v>
      </c>
      <c r="GU80" t="e">
        <f>AND(#REF!,"AAAAABup/8o=")</f>
        <v>#REF!</v>
      </c>
      <c r="GV80" t="e">
        <f>AND(#REF!,"AAAAABup/8s=")</f>
        <v>#REF!</v>
      </c>
      <c r="GW80" t="e">
        <f>AND(#REF!,"AAAAABup/8w=")</f>
        <v>#REF!</v>
      </c>
      <c r="GX80" t="e">
        <f>AND(#REF!,"AAAAABup/80=")</f>
        <v>#REF!</v>
      </c>
      <c r="GY80" t="e">
        <f>AND(#REF!,"AAAAABup/84=")</f>
        <v>#REF!</v>
      </c>
      <c r="GZ80" t="e">
        <f>AND(#REF!,"AAAAABup/88=")</f>
        <v>#REF!</v>
      </c>
      <c r="HA80" t="e">
        <f>AND(#REF!,"AAAAABup/9A=")</f>
        <v>#REF!</v>
      </c>
      <c r="HB80" t="e">
        <f>AND(#REF!,"AAAAABup/9E=")</f>
        <v>#REF!</v>
      </c>
      <c r="HC80" t="e">
        <f>AND(#REF!,"AAAAABup/9I=")</f>
        <v>#REF!</v>
      </c>
      <c r="HD80" t="e">
        <f>AND(#REF!,"AAAAABup/9M=")</f>
        <v>#REF!</v>
      </c>
      <c r="HE80" t="e">
        <f>AND(#REF!,"AAAAABup/9Q=")</f>
        <v>#REF!</v>
      </c>
      <c r="HF80" t="e">
        <f>AND(#REF!,"AAAAABup/9U=")</f>
        <v>#REF!</v>
      </c>
      <c r="HG80" t="e">
        <f>AND(#REF!,"AAAAABup/9Y=")</f>
        <v>#REF!</v>
      </c>
      <c r="HH80" t="e">
        <f>AND(#REF!,"AAAAABup/9c=")</f>
        <v>#REF!</v>
      </c>
      <c r="HI80" t="e">
        <f>AND(#REF!,"AAAAABup/9g=")</f>
        <v>#REF!</v>
      </c>
      <c r="HJ80" t="e">
        <f>AND(#REF!,"AAAAABup/9k=")</f>
        <v>#REF!</v>
      </c>
      <c r="HK80" t="e">
        <f>AND(#REF!,"AAAAABup/9o=")</f>
        <v>#REF!</v>
      </c>
      <c r="HL80" t="e">
        <f>AND(#REF!,"AAAAABup/9s=")</f>
        <v>#REF!</v>
      </c>
      <c r="HM80" t="e">
        <f>AND(#REF!,"AAAAABup/9w=")</f>
        <v>#REF!</v>
      </c>
      <c r="HN80" t="e">
        <f>AND(#REF!,"AAAAABup/90=")</f>
        <v>#REF!</v>
      </c>
      <c r="HO80" t="e">
        <f>AND(#REF!,"AAAAABup/94=")</f>
        <v>#REF!</v>
      </c>
      <c r="HP80" t="e">
        <f>AND(#REF!,"AAAAABup/98=")</f>
        <v>#REF!</v>
      </c>
      <c r="HQ80" t="e">
        <f>AND(#REF!,"AAAAABup/+A=")</f>
        <v>#REF!</v>
      </c>
      <c r="HR80" t="e">
        <f>AND(#REF!,"AAAAABup/+E=")</f>
        <v>#REF!</v>
      </c>
      <c r="HS80" t="e">
        <f>AND(#REF!,"AAAAABup/+I=")</f>
        <v>#REF!</v>
      </c>
      <c r="HT80" t="e">
        <f>AND(#REF!,"AAAAABup/+M=")</f>
        <v>#REF!</v>
      </c>
      <c r="HU80" t="e">
        <f>AND(#REF!,"AAAAABup/+Q=")</f>
        <v>#REF!</v>
      </c>
      <c r="HV80" t="e">
        <f>AND(#REF!,"AAAAABup/+U=")</f>
        <v>#REF!</v>
      </c>
      <c r="HW80" t="e">
        <f>AND(#REF!,"AAAAABup/+Y=")</f>
        <v>#REF!</v>
      </c>
      <c r="HX80" t="e">
        <f>AND(#REF!,"AAAAABup/+c=")</f>
        <v>#REF!</v>
      </c>
      <c r="HY80" t="e">
        <f>AND(#REF!,"AAAAABup/+g=")</f>
        <v>#REF!</v>
      </c>
      <c r="HZ80" t="e">
        <f>AND(#REF!,"AAAAABup/+k=")</f>
        <v>#REF!</v>
      </c>
      <c r="IA80" t="e">
        <f>AND(#REF!,"AAAAABup/+o=")</f>
        <v>#REF!</v>
      </c>
      <c r="IB80" t="e">
        <f>AND(#REF!,"AAAAABup/+s=")</f>
        <v>#REF!</v>
      </c>
      <c r="IC80" t="e">
        <f>AND(#REF!,"AAAAABup/+w=")</f>
        <v>#REF!</v>
      </c>
      <c r="ID80" t="e">
        <f>AND(#REF!,"AAAAABup/+0=")</f>
        <v>#REF!</v>
      </c>
      <c r="IE80" t="e">
        <f>AND(#REF!,"AAAAABup/+4=")</f>
        <v>#REF!</v>
      </c>
      <c r="IF80" t="e">
        <f>AND(#REF!,"AAAAABup/+8=")</f>
        <v>#REF!</v>
      </c>
      <c r="IG80" t="e">
        <f>AND(#REF!,"AAAAABup//A=")</f>
        <v>#REF!</v>
      </c>
      <c r="IH80" t="e">
        <f>AND(#REF!,"AAAAABup//E=")</f>
        <v>#REF!</v>
      </c>
      <c r="II80" t="e">
        <f>AND(#REF!,"AAAAABup//I=")</f>
        <v>#REF!</v>
      </c>
      <c r="IJ80" t="e">
        <f>AND(#REF!,"AAAAABup//M=")</f>
        <v>#REF!</v>
      </c>
      <c r="IK80" t="e">
        <f>AND(#REF!,"AAAAABup//Q=")</f>
        <v>#REF!</v>
      </c>
      <c r="IL80" t="e">
        <f>AND(#REF!,"AAAAABup//U=")</f>
        <v>#REF!</v>
      </c>
      <c r="IM80" t="e">
        <f>AND(#REF!,"AAAAABup//Y=")</f>
        <v>#REF!</v>
      </c>
      <c r="IN80" t="e">
        <f>AND(#REF!,"AAAAABup//c=")</f>
        <v>#REF!</v>
      </c>
      <c r="IO80" t="e">
        <f>AND(#REF!,"AAAAABup//g=")</f>
        <v>#REF!</v>
      </c>
      <c r="IP80" t="e">
        <f>AND(#REF!,"AAAAABup//k=")</f>
        <v>#REF!</v>
      </c>
      <c r="IQ80" t="e">
        <f>AND(#REF!,"AAAAABup//o=")</f>
        <v>#REF!</v>
      </c>
      <c r="IR80" t="e">
        <f>IF(#REF!,"AAAAABup//s=",0)</f>
        <v>#REF!</v>
      </c>
      <c r="IS80" t="e">
        <f>AND(#REF!,"AAAAABup//w=")</f>
        <v>#REF!</v>
      </c>
      <c r="IT80" t="e">
        <f>AND(#REF!,"AAAAABup//0=")</f>
        <v>#REF!</v>
      </c>
      <c r="IU80" t="e">
        <f>AND(#REF!,"AAAAABup//4=")</f>
        <v>#REF!</v>
      </c>
      <c r="IV80" t="e">
        <f>AND(#REF!,"AAAAABup//8=")</f>
        <v>#REF!</v>
      </c>
    </row>
    <row r="81" spans="1:256" x14ac:dyDescent="0.2">
      <c r="A81" t="e">
        <f>AND(#REF!,"AAAAAH6v+wA=")</f>
        <v>#REF!</v>
      </c>
      <c r="B81" t="e">
        <f>AND(#REF!,"AAAAAH6v+wE=")</f>
        <v>#REF!</v>
      </c>
      <c r="C81" t="e">
        <f>AND(#REF!,"AAAAAH6v+wI=")</f>
        <v>#REF!</v>
      </c>
      <c r="D81" t="e">
        <f>AND(#REF!,"AAAAAH6v+wM=")</f>
        <v>#REF!</v>
      </c>
      <c r="E81" t="e">
        <f>AND(#REF!,"AAAAAH6v+wQ=")</f>
        <v>#REF!</v>
      </c>
      <c r="F81" t="e">
        <f>AND(#REF!,"AAAAAH6v+wU=")</f>
        <v>#REF!</v>
      </c>
      <c r="G81" t="e">
        <f>AND(#REF!,"AAAAAH6v+wY=")</f>
        <v>#REF!</v>
      </c>
      <c r="H81" t="e">
        <f>AND(#REF!,"AAAAAH6v+wc=")</f>
        <v>#REF!</v>
      </c>
      <c r="I81" t="e">
        <f>AND(#REF!,"AAAAAH6v+wg=")</f>
        <v>#REF!</v>
      </c>
      <c r="J81" t="e">
        <f>AND(#REF!,"AAAAAH6v+wk=")</f>
        <v>#REF!</v>
      </c>
      <c r="K81" t="e">
        <f>AND(#REF!,"AAAAAH6v+wo=")</f>
        <v>#REF!</v>
      </c>
      <c r="L81" t="e">
        <f>AND(#REF!,"AAAAAH6v+ws=")</f>
        <v>#REF!</v>
      </c>
      <c r="M81" t="e">
        <f>AND(#REF!,"AAAAAH6v+ww=")</f>
        <v>#REF!</v>
      </c>
      <c r="N81" t="e">
        <f>AND(#REF!,"AAAAAH6v+w0=")</f>
        <v>#REF!</v>
      </c>
      <c r="O81" t="e">
        <f>AND(#REF!,"AAAAAH6v+w4=")</f>
        <v>#REF!</v>
      </c>
      <c r="P81" t="e">
        <f>AND(#REF!,"AAAAAH6v+w8=")</f>
        <v>#REF!</v>
      </c>
      <c r="Q81" t="e">
        <f>AND(#REF!,"AAAAAH6v+xA=")</f>
        <v>#REF!</v>
      </c>
      <c r="R81" t="e">
        <f>AND(#REF!,"AAAAAH6v+xE=")</f>
        <v>#REF!</v>
      </c>
      <c r="S81" t="e">
        <f>AND(#REF!,"AAAAAH6v+xI=")</f>
        <v>#REF!</v>
      </c>
      <c r="T81" t="e">
        <f>AND(#REF!,"AAAAAH6v+xM=")</f>
        <v>#REF!</v>
      </c>
      <c r="U81" t="e">
        <f>AND(#REF!,"AAAAAH6v+xQ=")</f>
        <v>#REF!</v>
      </c>
      <c r="V81" t="e">
        <f>AND(#REF!,"AAAAAH6v+xU=")</f>
        <v>#REF!</v>
      </c>
      <c r="W81" t="e">
        <f>AND(#REF!,"AAAAAH6v+xY=")</f>
        <v>#REF!</v>
      </c>
      <c r="X81" t="e">
        <f>AND(#REF!,"AAAAAH6v+xc=")</f>
        <v>#REF!</v>
      </c>
      <c r="Y81" t="e">
        <f>AND(#REF!,"AAAAAH6v+xg=")</f>
        <v>#REF!</v>
      </c>
      <c r="Z81" t="e">
        <f>AND(#REF!,"AAAAAH6v+xk=")</f>
        <v>#REF!</v>
      </c>
      <c r="AA81" t="e">
        <f>AND(#REF!,"AAAAAH6v+xo=")</f>
        <v>#REF!</v>
      </c>
      <c r="AB81" t="e">
        <f>AND(#REF!,"AAAAAH6v+xs=")</f>
        <v>#REF!</v>
      </c>
      <c r="AC81" t="e">
        <f>AND(#REF!,"AAAAAH6v+xw=")</f>
        <v>#REF!</v>
      </c>
      <c r="AD81" t="e">
        <f>AND(#REF!,"AAAAAH6v+x0=")</f>
        <v>#REF!</v>
      </c>
      <c r="AE81" t="e">
        <f>AND(#REF!,"AAAAAH6v+x4=")</f>
        <v>#REF!</v>
      </c>
      <c r="AF81" t="e">
        <f>AND(#REF!,"AAAAAH6v+x8=")</f>
        <v>#REF!</v>
      </c>
      <c r="AG81" t="e">
        <f>AND(#REF!,"AAAAAH6v+yA=")</f>
        <v>#REF!</v>
      </c>
      <c r="AH81" t="e">
        <f>AND(#REF!,"AAAAAH6v+yE=")</f>
        <v>#REF!</v>
      </c>
      <c r="AI81" t="e">
        <f>AND(#REF!,"AAAAAH6v+yI=")</f>
        <v>#REF!</v>
      </c>
      <c r="AJ81" t="e">
        <f>AND(#REF!,"AAAAAH6v+yM=")</f>
        <v>#REF!</v>
      </c>
      <c r="AK81" t="e">
        <f>AND(#REF!,"AAAAAH6v+yQ=")</f>
        <v>#REF!</v>
      </c>
      <c r="AL81" t="e">
        <f>AND(#REF!,"AAAAAH6v+yU=")</f>
        <v>#REF!</v>
      </c>
      <c r="AM81" t="e">
        <f>AND(#REF!,"AAAAAH6v+yY=")</f>
        <v>#REF!</v>
      </c>
      <c r="AN81" t="e">
        <f>AND(#REF!,"AAAAAH6v+yc=")</f>
        <v>#REF!</v>
      </c>
      <c r="AO81" t="e">
        <f>AND(#REF!,"AAAAAH6v+yg=")</f>
        <v>#REF!</v>
      </c>
      <c r="AP81" t="e">
        <f>AND(#REF!,"AAAAAH6v+yk=")</f>
        <v>#REF!</v>
      </c>
      <c r="AQ81" t="e">
        <f>AND(#REF!,"AAAAAH6v+yo=")</f>
        <v>#REF!</v>
      </c>
      <c r="AR81" t="e">
        <f>AND(#REF!,"AAAAAH6v+ys=")</f>
        <v>#REF!</v>
      </c>
      <c r="AS81" t="e">
        <f>AND(#REF!,"AAAAAH6v+yw=")</f>
        <v>#REF!</v>
      </c>
      <c r="AT81" t="e">
        <f>AND(#REF!,"AAAAAH6v+y0=")</f>
        <v>#REF!</v>
      </c>
      <c r="AU81" t="e">
        <f>AND(#REF!,"AAAAAH6v+y4=")</f>
        <v>#REF!</v>
      </c>
      <c r="AV81" t="e">
        <f>AND(#REF!,"AAAAAH6v+y8=")</f>
        <v>#REF!</v>
      </c>
      <c r="AW81" t="e">
        <f>AND(#REF!,"AAAAAH6v+zA=")</f>
        <v>#REF!</v>
      </c>
      <c r="AX81" t="e">
        <f>AND(#REF!,"AAAAAH6v+zE=")</f>
        <v>#REF!</v>
      </c>
      <c r="AY81" t="e">
        <f>AND(#REF!,"AAAAAH6v+zI=")</f>
        <v>#REF!</v>
      </c>
      <c r="AZ81" t="e">
        <f>AND(#REF!,"AAAAAH6v+zM=")</f>
        <v>#REF!</v>
      </c>
      <c r="BA81" t="e">
        <f>AND(#REF!,"AAAAAH6v+zQ=")</f>
        <v>#REF!</v>
      </c>
      <c r="BB81" t="e">
        <f>AND(#REF!,"AAAAAH6v+zU=")</f>
        <v>#REF!</v>
      </c>
      <c r="BC81" t="e">
        <f>AND(#REF!,"AAAAAH6v+zY=")</f>
        <v>#REF!</v>
      </c>
      <c r="BD81" t="e">
        <f>AND(#REF!,"AAAAAH6v+zc=")</f>
        <v>#REF!</v>
      </c>
      <c r="BE81" t="e">
        <f>AND(#REF!,"AAAAAH6v+zg=")</f>
        <v>#REF!</v>
      </c>
      <c r="BF81" t="e">
        <f>AND(#REF!,"AAAAAH6v+zk=")</f>
        <v>#REF!</v>
      </c>
      <c r="BG81" t="e">
        <f>AND(#REF!,"AAAAAH6v+zo=")</f>
        <v>#REF!</v>
      </c>
      <c r="BH81" t="e">
        <f>AND(#REF!,"AAAAAH6v+zs=")</f>
        <v>#REF!</v>
      </c>
      <c r="BI81" t="e">
        <f>AND(#REF!,"AAAAAH6v+zw=")</f>
        <v>#REF!</v>
      </c>
      <c r="BJ81" t="e">
        <f>AND(#REF!,"AAAAAH6v+z0=")</f>
        <v>#REF!</v>
      </c>
      <c r="BK81" t="e">
        <f>AND(#REF!,"AAAAAH6v+z4=")</f>
        <v>#REF!</v>
      </c>
      <c r="BL81" t="e">
        <f>AND(#REF!,"AAAAAH6v+z8=")</f>
        <v>#REF!</v>
      </c>
      <c r="BM81" t="e">
        <f>AND(#REF!,"AAAAAH6v+0A=")</f>
        <v>#REF!</v>
      </c>
      <c r="BN81" t="e">
        <f>AND(#REF!,"AAAAAH6v+0E=")</f>
        <v>#REF!</v>
      </c>
      <c r="BO81" t="e">
        <f>AND(#REF!,"AAAAAH6v+0I=")</f>
        <v>#REF!</v>
      </c>
      <c r="BP81" t="e">
        <f>AND(#REF!,"AAAAAH6v+0M=")</f>
        <v>#REF!</v>
      </c>
      <c r="BQ81" t="e">
        <f>AND(#REF!,"AAAAAH6v+0Q=")</f>
        <v>#REF!</v>
      </c>
      <c r="BR81" t="e">
        <f>AND(#REF!,"AAAAAH6v+0U=")</f>
        <v>#REF!</v>
      </c>
      <c r="BS81" t="e">
        <f>IF(#REF!,"AAAAAH6v+0Y=",0)</f>
        <v>#REF!</v>
      </c>
      <c r="BT81" t="e">
        <f>AND(#REF!,"AAAAAH6v+0c=")</f>
        <v>#REF!</v>
      </c>
      <c r="BU81" t="e">
        <f>AND(#REF!,"AAAAAH6v+0g=")</f>
        <v>#REF!</v>
      </c>
      <c r="BV81" t="e">
        <f>AND(#REF!,"AAAAAH6v+0k=")</f>
        <v>#REF!</v>
      </c>
      <c r="BW81" t="e">
        <f>AND(#REF!,"AAAAAH6v+0o=")</f>
        <v>#REF!</v>
      </c>
      <c r="BX81" t="e">
        <f>AND(#REF!,"AAAAAH6v+0s=")</f>
        <v>#REF!</v>
      </c>
      <c r="BY81" t="e">
        <f>AND(#REF!,"AAAAAH6v+0w=")</f>
        <v>#REF!</v>
      </c>
      <c r="BZ81" t="e">
        <f>AND(#REF!,"AAAAAH6v+00=")</f>
        <v>#REF!</v>
      </c>
      <c r="CA81" t="e">
        <f>AND(#REF!,"AAAAAH6v+04=")</f>
        <v>#REF!</v>
      </c>
      <c r="CB81" t="e">
        <f>AND(#REF!,"AAAAAH6v+08=")</f>
        <v>#REF!</v>
      </c>
      <c r="CC81" t="e">
        <f>AND(#REF!,"AAAAAH6v+1A=")</f>
        <v>#REF!</v>
      </c>
      <c r="CD81" t="e">
        <f>AND(#REF!,"AAAAAH6v+1E=")</f>
        <v>#REF!</v>
      </c>
      <c r="CE81" t="e">
        <f>AND(#REF!,"AAAAAH6v+1I=")</f>
        <v>#REF!</v>
      </c>
      <c r="CF81" t="e">
        <f>AND(#REF!,"AAAAAH6v+1M=")</f>
        <v>#REF!</v>
      </c>
      <c r="CG81" t="e">
        <f>AND(#REF!,"AAAAAH6v+1Q=")</f>
        <v>#REF!</v>
      </c>
      <c r="CH81" t="e">
        <f>AND(#REF!,"AAAAAH6v+1U=")</f>
        <v>#REF!</v>
      </c>
      <c r="CI81" t="e">
        <f>AND(#REF!,"AAAAAH6v+1Y=")</f>
        <v>#REF!</v>
      </c>
      <c r="CJ81" t="e">
        <f>AND(#REF!,"AAAAAH6v+1c=")</f>
        <v>#REF!</v>
      </c>
      <c r="CK81" t="e">
        <f>AND(#REF!,"AAAAAH6v+1g=")</f>
        <v>#REF!</v>
      </c>
      <c r="CL81" t="e">
        <f>AND(#REF!,"AAAAAH6v+1k=")</f>
        <v>#REF!</v>
      </c>
      <c r="CM81" t="e">
        <f>AND(#REF!,"AAAAAH6v+1o=")</f>
        <v>#REF!</v>
      </c>
      <c r="CN81" t="e">
        <f>AND(#REF!,"AAAAAH6v+1s=")</f>
        <v>#REF!</v>
      </c>
      <c r="CO81" t="e">
        <f>AND(#REF!,"AAAAAH6v+1w=")</f>
        <v>#REF!</v>
      </c>
      <c r="CP81" t="e">
        <f>AND(#REF!,"AAAAAH6v+10=")</f>
        <v>#REF!</v>
      </c>
      <c r="CQ81" t="e">
        <f>AND(#REF!,"AAAAAH6v+14=")</f>
        <v>#REF!</v>
      </c>
      <c r="CR81" t="e">
        <f>AND(#REF!,"AAAAAH6v+18=")</f>
        <v>#REF!</v>
      </c>
      <c r="CS81" t="e">
        <f>AND(#REF!,"AAAAAH6v+2A=")</f>
        <v>#REF!</v>
      </c>
      <c r="CT81" t="e">
        <f>AND(#REF!,"AAAAAH6v+2E=")</f>
        <v>#REF!</v>
      </c>
      <c r="CU81" t="e">
        <f>AND(#REF!,"AAAAAH6v+2I=")</f>
        <v>#REF!</v>
      </c>
      <c r="CV81" t="e">
        <f>AND(#REF!,"AAAAAH6v+2M=")</f>
        <v>#REF!</v>
      </c>
      <c r="CW81" t="e">
        <f>AND(#REF!,"AAAAAH6v+2Q=")</f>
        <v>#REF!</v>
      </c>
      <c r="CX81" t="e">
        <f>AND(#REF!,"AAAAAH6v+2U=")</f>
        <v>#REF!</v>
      </c>
      <c r="CY81" t="e">
        <f>AND(#REF!,"AAAAAH6v+2Y=")</f>
        <v>#REF!</v>
      </c>
      <c r="CZ81" t="e">
        <f>AND(#REF!,"AAAAAH6v+2c=")</f>
        <v>#REF!</v>
      </c>
      <c r="DA81" t="e">
        <f>AND(#REF!,"AAAAAH6v+2g=")</f>
        <v>#REF!</v>
      </c>
      <c r="DB81" t="e">
        <f>AND(#REF!,"AAAAAH6v+2k=")</f>
        <v>#REF!</v>
      </c>
      <c r="DC81" t="e">
        <f>AND(#REF!,"AAAAAH6v+2o=")</f>
        <v>#REF!</v>
      </c>
      <c r="DD81" t="e">
        <f>AND(#REF!,"AAAAAH6v+2s=")</f>
        <v>#REF!</v>
      </c>
      <c r="DE81" t="e">
        <f>AND(#REF!,"AAAAAH6v+2w=")</f>
        <v>#REF!</v>
      </c>
      <c r="DF81" t="e">
        <f>AND(#REF!,"AAAAAH6v+20=")</f>
        <v>#REF!</v>
      </c>
      <c r="DG81" t="e">
        <f>AND(#REF!,"AAAAAH6v+24=")</f>
        <v>#REF!</v>
      </c>
      <c r="DH81" t="e">
        <f>AND(#REF!,"AAAAAH6v+28=")</f>
        <v>#REF!</v>
      </c>
      <c r="DI81" t="e">
        <f>AND(#REF!,"AAAAAH6v+3A=")</f>
        <v>#REF!</v>
      </c>
      <c r="DJ81" t="e">
        <f>AND(#REF!,"AAAAAH6v+3E=")</f>
        <v>#REF!</v>
      </c>
      <c r="DK81" t="e">
        <f>AND(#REF!,"AAAAAH6v+3I=")</f>
        <v>#REF!</v>
      </c>
      <c r="DL81" t="e">
        <f>AND(#REF!,"AAAAAH6v+3M=")</f>
        <v>#REF!</v>
      </c>
      <c r="DM81" t="e">
        <f>AND(#REF!,"AAAAAH6v+3Q=")</f>
        <v>#REF!</v>
      </c>
      <c r="DN81" t="e">
        <f>AND(#REF!,"AAAAAH6v+3U=")</f>
        <v>#REF!</v>
      </c>
      <c r="DO81" t="e">
        <f>AND(#REF!,"AAAAAH6v+3Y=")</f>
        <v>#REF!</v>
      </c>
      <c r="DP81" t="e">
        <f>AND(#REF!,"AAAAAH6v+3c=")</f>
        <v>#REF!</v>
      </c>
      <c r="DQ81" t="e">
        <f>AND(#REF!,"AAAAAH6v+3g=")</f>
        <v>#REF!</v>
      </c>
      <c r="DR81" t="e">
        <f>AND(#REF!,"AAAAAH6v+3k=")</f>
        <v>#REF!</v>
      </c>
      <c r="DS81" t="e">
        <f>AND(#REF!,"AAAAAH6v+3o=")</f>
        <v>#REF!</v>
      </c>
      <c r="DT81" t="e">
        <f>AND(#REF!,"AAAAAH6v+3s=")</f>
        <v>#REF!</v>
      </c>
      <c r="DU81" t="e">
        <f>AND(#REF!,"AAAAAH6v+3w=")</f>
        <v>#REF!</v>
      </c>
      <c r="DV81" t="e">
        <f>AND(#REF!,"AAAAAH6v+30=")</f>
        <v>#REF!</v>
      </c>
      <c r="DW81" t="e">
        <f>AND(#REF!,"AAAAAH6v+34=")</f>
        <v>#REF!</v>
      </c>
      <c r="DX81" t="e">
        <f>AND(#REF!,"AAAAAH6v+38=")</f>
        <v>#REF!</v>
      </c>
      <c r="DY81" t="e">
        <f>AND(#REF!,"AAAAAH6v+4A=")</f>
        <v>#REF!</v>
      </c>
      <c r="DZ81" t="e">
        <f>AND(#REF!,"AAAAAH6v+4E=")</f>
        <v>#REF!</v>
      </c>
      <c r="EA81" t="e">
        <f>AND(#REF!,"AAAAAH6v+4I=")</f>
        <v>#REF!</v>
      </c>
      <c r="EB81" t="e">
        <f>AND(#REF!,"AAAAAH6v+4M=")</f>
        <v>#REF!</v>
      </c>
      <c r="EC81" t="e">
        <f>AND(#REF!,"AAAAAH6v+4Q=")</f>
        <v>#REF!</v>
      </c>
      <c r="ED81" t="e">
        <f>AND(#REF!,"AAAAAH6v+4U=")</f>
        <v>#REF!</v>
      </c>
      <c r="EE81" t="e">
        <f>AND(#REF!,"AAAAAH6v+4Y=")</f>
        <v>#REF!</v>
      </c>
      <c r="EF81" t="e">
        <f>AND(#REF!,"AAAAAH6v+4c=")</f>
        <v>#REF!</v>
      </c>
      <c r="EG81" t="e">
        <f>AND(#REF!,"AAAAAH6v+4g=")</f>
        <v>#REF!</v>
      </c>
      <c r="EH81" t="e">
        <f>AND(#REF!,"AAAAAH6v+4k=")</f>
        <v>#REF!</v>
      </c>
      <c r="EI81" t="e">
        <f>AND(#REF!,"AAAAAH6v+4o=")</f>
        <v>#REF!</v>
      </c>
      <c r="EJ81" t="e">
        <f>AND(#REF!,"AAAAAH6v+4s=")</f>
        <v>#REF!</v>
      </c>
      <c r="EK81" t="e">
        <f>AND(#REF!,"AAAAAH6v+4w=")</f>
        <v>#REF!</v>
      </c>
      <c r="EL81" t="e">
        <f>AND(#REF!,"AAAAAH6v+40=")</f>
        <v>#REF!</v>
      </c>
      <c r="EM81" t="e">
        <f>AND(#REF!,"AAAAAH6v+44=")</f>
        <v>#REF!</v>
      </c>
      <c r="EN81" t="e">
        <f>AND(#REF!,"AAAAAH6v+48=")</f>
        <v>#REF!</v>
      </c>
      <c r="EO81" t="e">
        <f>AND(#REF!,"AAAAAH6v+5A=")</f>
        <v>#REF!</v>
      </c>
      <c r="EP81" t="e">
        <f>IF(#REF!,"AAAAAH6v+5E=",0)</f>
        <v>#REF!</v>
      </c>
      <c r="EQ81" t="e">
        <f>AND(#REF!,"AAAAAH6v+5I=")</f>
        <v>#REF!</v>
      </c>
      <c r="ER81" t="e">
        <f>AND(#REF!,"AAAAAH6v+5M=")</f>
        <v>#REF!</v>
      </c>
      <c r="ES81" t="e">
        <f>AND(#REF!,"AAAAAH6v+5Q=")</f>
        <v>#REF!</v>
      </c>
      <c r="ET81" t="e">
        <f>AND(#REF!,"AAAAAH6v+5U=")</f>
        <v>#REF!</v>
      </c>
      <c r="EU81" t="e">
        <f>AND(#REF!,"AAAAAH6v+5Y=")</f>
        <v>#REF!</v>
      </c>
      <c r="EV81" t="e">
        <f>AND(#REF!,"AAAAAH6v+5c=")</f>
        <v>#REF!</v>
      </c>
      <c r="EW81" t="e">
        <f>AND(#REF!,"AAAAAH6v+5g=")</f>
        <v>#REF!</v>
      </c>
      <c r="EX81" t="e">
        <f>AND(#REF!,"AAAAAH6v+5k=")</f>
        <v>#REF!</v>
      </c>
      <c r="EY81" t="e">
        <f>AND(#REF!,"AAAAAH6v+5o=")</f>
        <v>#REF!</v>
      </c>
      <c r="EZ81" t="e">
        <f>AND(#REF!,"AAAAAH6v+5s=")</f>
        <v>#REF!</v>
      </c>
      <c r="FA81" t="e">
        <f>AND(#REF!,"AAAAAH6v+5w=")</f>
        <v>#REF!</v>
      </c>
      <c r="FB81" t="e">
        <f>AND(#REF!,"AAAAAH6v+50=")</f>
        <v>#REF!</v>
      </c>
      <c r="FC81" t="e">
        <f>AND(#REF!,"AAAAAH6v+54=")</f>
        <v>#REF!</v>
      </c>
      <c r="FD81" t="e">
        <f>AND(#REF!,"AAAAAH6v+58=")</f>
        <v>#REF!</v>
      </c>
      <c r="FE81" t="e">
        <f>AND(#REF!,"AAAAAH6v+6A=")</f>
        <v>#REF!</v>
      </c>
      <c r="FF81" t="e">
        <f>AND(#REF!,"AAAAAH6v+6E=")</f>
        <v>#REF!</v>
      </c>
      <c r="FG81" t="e">
        <f>AND(#REF!,"AAAAAH6v+6I=")</f>
        <v>#REF!</v>
      </c>
      <c r="FH81" t="e">
        <f>AND(#REF!,"AAAAAH6v+6M=")</f>
        <v>#REF!</v>
      </c>
      <c r="FI81" t="e">
        <f>AND(#REF!,"AAAAAH6v+6Q=")</f>
        <v>#REF!</v>
      </c>
      <c r="FJ81" t="e">
        <f>AND(#REF!,"AAAAAH6v+6U=")</f>
        <v>#REF!</v>
      </c>
      <c r="FK81" t="e">
        <f>AND(#REF!,"AAAAAH6v+6Y=")</f>
        <v>#REF!</v>
      </c>
      <c r="FL81" t="e">
        <f>AND(#REF!,"AAAAAH6v+6c=")</f>
        <v>#REF!</v>
      </c>
      <c r="FM81" t="e">
        <f>AND(#REF!,"AAAAAH6v+6g=")</f>
        <v>#REF!</v>
      </c>
      <c r="FN81" t="e">
        <f>AND(#REF!,"AAAAAH6v+6k=")</f>
        <v>#REF!</v>
      </c>
      <c r="FO81" t="e">
        <f>AND(#REF!,"AAAAAH6v+6o=")</f>
        <v>#REF!</v>
      </c>
      <c r="FP81" t="e">
        <f>AND(#REF!,"AAAAAH6v+6s=")</f>
        <v>#REF!</v>
      </c>
      <c r="FQ81" t="e">
        <f>AND(#REF!,"AAAAAH6v+6w=")</f>
        <v>#REF!</v>
      </c>
      <c r="FR81" t="e">
        <f>AND(#REF!,"AAAAAH6v+60=")</f>
        <v>#REF!</v>
      </c>
      <c r="FS81" t="e">
        <f>AND(#REF!,"AAAAAH6v+64=")</f>
        <v>#REF!</v>
      </c>
      <c r="FT81" t="e">
        <f>AND(#REF!,"AAAAAH6v+68=")</f>
        <v>#REF!</v>
      </c>
      <c r="FU81" t="e">
        <f>AND(#REF!,"AAAAAH6v+7A=")</f>
        <v>#REF!</v>
      </c>
      <c r="FV81" t="e">
        <f>AND(#REF!,"AAAAAH6v+7E=")</f>
        <v>#REF!</v>
      </c>
      <c r="FW81" t="e">
        <f>AND(#REF!,"AAAAAH6v+7I=")</f>
        <v>#REF!</v>
      </c>
      <c r="FX81" t="e">
        <f>AND(#REF!,"AAAAAH6v+7M=")</f>
        <v>#REF!</v>
      </c>
      <c r="FY81" t="e">
        <f>AND(#REF!,"AAAAAH6v+7Q=")</f>
        <v>#REF!</v>
      </c>
      <c r="FZ81" t="e">
        <f>AND(#REF!,"AAAAAH6v+7U=")</f>
        <v>#REF!</v>
      </c>
      <c r="GA81" t="e">
        <f>AND(#REF!,"AAAAAH6v+7Y=")</f>
        <v>#REF!</v>
      </c>
      <c r="GB81" t="e">
        <f>AND(#REF!,"AAAAAH6v+7c=")</f>
        <v>#REF!</v>
      </c>
      <c r="GC81" t="e">
        <f>AND(#REF!,"AAAAAH6v+7g=")</f>
        <v>#REF!</v>
      </c>
      <c r="GD81" t="e">
        <f>AND(#REF!,"AAAAAH6v+7k=")</f>
        <v>#REF!</v>
      </c>
      <c r="GE81" t="e">
        <f>AND(#REF!,"AAAAAH6v+7o=")</f>
        <v>#REF!</v>
      </c>
      <c r="GF81" t="e">
        <f>AND(#REF!,"AAAAAH6v+7s=")</f>
        <v>#REF!</v>
      </c>
      <c r="GG81" t="e">
        <f>AND(#REF!,"AAAAAH6v+7w=")</f>
        <v>#REF!</v>
      </c>
      <c r="GH81" t="e">
        <f>AND(#REF!,"AAAAAH6v+70=")</f>
        <v>#REF!</v>
      </c>
      <c r="GI81" t="e">
        <f>AND(#REF!,"AAAAAH6v+74=")</f>
        <v>#REF!</v>
      </c>
      <c r="GJ81" t="e">
        <f>AND(#REF!,"AAAAAH6v+78=")</f>
        <v>#REF!</v>
      </c>
      <c r="GK81" t="e">
        <f>AND(#REF!,"AAAAAH6v+8A=")</f>
        <v>#REF!</v>
      </c>
      <c r="GL81" t="e">
        <f>AND(#REF!,"AAAAAH6v+8E=")</f>
        <v>#REF!</v>
      </c>
      <c r="GM81" t="e">
        <f>AND(#REF!,"AAAAAH6v+8I=")</f>
        <v>#REF!</v>
      </c>
      <c r="GN81" t="e">
        <f>AND(#REF!,"AAAAAH6v+8M=")</f>
        <v>#REF!</v>
      </c>
      <c r="GO81" t="e">
        <f>AND(#REF!,"AAAAAH6v+8Q=")</f>
        <v>#REF!</v>
      </c>
      <c r="GP81" t="e">
        <f>AND(#REF!,"AAAAAH6v+8U=")</f>
        <v>#REF!</v>
      </c>
      <c r="GQ81" t="e">
        <f>AND(#REF!,"AAAAAH6v+8Y=")</f>
        <v>#REF!</v>
      </c>
      <c r="GR81" t="e">
        <f>AND(#REF!,"AAAAAH6v+8c=")</f>
        <v>#REF!</v>
      </c>
      <c r="GS81" t="e">
        <f>AND(#REF!,"AAAAAH6v+8g=")</f>
        <v>#REF!</v>
      </c>
      <c r="GT81" t="e">
        <f>AND(#REF!,"AAAAAH6v+8k=")</f>
        <v>#REF!</v>
      </c>
      <c r="GU81" t="e">
        <f>AND(#REF!,"AAAAAH6v+8o=")</f>
        <v>#REF!</v>
      </c>
      <c r="GV81" t="e">
        <f>AND(#REF!,"AAAAAH6v+8s=")</f>
        <v>#REF!</v>
      </c>
      <c r="GW81" t="e">
        <f>AND(#REF!,"AAAAAH6v+8w=")</f>
        <v>#REF!</v>
      </c>
      <c r="GX81" t="e">
        <f>AND(#REF!,"AAAAAH6v+80=")</f>
        <v>#REF!</v>
      </c>
      <c r="GY81" t="e">
        <f>AND(#REF!,"AAAAAH6v+84=")</f>
        <v>#REF!</v>
      </c>
      <c r="GZ81" t="e">
        <f>AND(#REF!,"AAAAAH6v+88=")</f>
        <v>#REF!</v>
      </c>
      <c r="HA81" t="e">
        <f>AND(#REF!,"AAAAAH6v+9A=")</f>
        <v>#REF!</v>
      </c>
      <c r="HB81" t="e">
        <f>AND(#REF!,"AAAAAH6v+9E=")</f>
        <v>#REF!</v>
      </c>
      <c r="HC81" t="e">
        <f>AND(#REF!,"AAAAAH6v+9I=")</f>
        <v>#REF!</v>
      </c>
      <c r="HD81" t="e">
        <f>AND(#REF!,"AAAAAH6v+9M=")</f>
        <v>#REF!</v>
      </c>
      <c r="HE81" t="e">
        <f>AND(#REF!,"AAAAAH6v+9Q=")</f>
        <v>#REF!</v>
      </c>
      <c r="HF81" t="e">
        <f>AND(#REF!,"AAAAAH6v+9U=")</f>
        <v>#REF!</v>
      </c>
      <c r="HG81" t="e">
        <f>AND(#REF!,"AAAAAH6v+9Y=")</f>
        <v>#REF!</v>
      </c>
      <c r="HH81" t="e">
        <f>AND(#REF!,"AAAAAH6v+9c=")</f>
        <v>#REF!</v>
      </c>
      <c r="HI81" t="e">
        <f>AND(#REF!,"AAAAAH6v+9g=")</f>
        <v>#REF!</v>
      </c>
      <c r="HJ81" t="e">
        <f>AND(#REF!,"AAAAAH6v+9k=")</f>
        <v>#REF!</v>
      </c>
      <c r="HK81" t="e">
        <f>AND(#REF!,"AAAAAH6v+9o=")</f>
        <v>#REF!</v>
      </c>
      <c r="HL81" t="e">
        <f>AND(#REF!,"AAAAAH6v+9s=")</f>
        <v>#REF!</v>
      </c>
      <c r="HM81" t="e">
        <f>IF(#REF!,"AAAAAH6v+9w=",0)</f>
        <v>#REF!</v>
      </c>
      <c r="HN81" t="e">
        <f>AND(#REF!,"AAAAAH6v+90=")</f>
        <v>#REF!</v>
      </c>
      <c r="HO81" t="e">
        <f>AND(#REF!,"AAAAAH6v+94=")</f>
        <v>#REF!</v>
      </c>
      <c r="HP81" t="e">
        <f>AND(#REF!,"AAAAAH6v+98=")</f>
        <v>#REF!</v>
      </c>
      <c r="HQ81" t="e">
        <f>AND(#REF!,"AAAAAH6v++A=")</f>
        <v>#REF!</v>
      </c>
      <c r="HR81" t="e">
        <f>AND(#REF!,"AAAAAH6v++E=")</f>
        <v>#REF!</v>
      </c>
      <c r="HS81" t="e">
        <f>AND(#REF!,"AAAAAH6v++I=")</f>
        <v>#REF!</v>
      </c>
      <c r="HT81" t="e">
        <f>AND(#REF!,"AAAAAH6v++M=")</f>
        <v>#REF!</v>
      </c>
      <c r="HU81" t="e">
        <f>AND(#REF!,"AAAAAH6v++Q=")</f>
        <v>#REF!</v>
      </c>
      <c r="HV81" t="e">
        <f>AND(#REF!,"AAAAAH6v++U=")</f>
        <v>#REF!</v>
      </c>
      <c r="HW81" t="e">
        <f>AND(#REF!,"AAAAAH6v++Y=")</f>
        <v>#REF!</v>
      </c>
      <c r="HX81" t="e">
        <f>AND(#REF!,"AAAAAH6v++c=")</f>
        <v>#REF!</v>
      </c>
      <c r="HY81" t="e">
        <f>AND(#REF!,"AAAAAH6v++g=")</f>
        <v>#REF!</v>
      </c>
      <c r="HZ81" t="e">
        <f>AND(#REF!,"AAAAAH6v++k=")</f>
        <v>#REF!</v>
      </c>
      <c r="IA81" t="e">
        <f>AND(#REF!,"AAAAAH6v++o=")</f>
        <v>#REF!</v>
      </c>
      <c r="IB81" t="e">
        <f>AND(#REF!,"AAAAAH6v++s=")</f>
        <v>#REF!</v>
      </c>
      <c r="IC81" t="e">
        <f>AND(#REF!,"AAAAAH6v++w=")</f>
        <v>#REF!</v>
      </c>
      <c r="ID81" t="e">
        <f>AND(#REF!,"AAAAAH6v++0=")</f>
        <v>#REF!</v>
      </c>
      <c r="IE81" t="e">
        <f>AND(#REF!,"AAAAAH6v++4=")</f>
        <v>#REF!</v>
      </c>
      <c r="IF81" t="e">
        <f>AND(#REF!,"AAAAAH6v++8=")</f>
        <v>#REF!</v>
      </c>
      <c r="IG81" t="e">
        <f>AND(#REF!,"AAAAAH6v+/A=")</f>
        <v>#REF!</v>
      </c>
      <c r="IH81" t="e">
        <f>AND(#REF!,"AAAAAH6v+/E=")</f>
        <v>#REF!</v>
      </c>
      <c r="II81" t="e">
        <f>AND(#REF!,"AAAAAH6v+/I=")</f>
        <v>#REF!</v>
      </c>
      <c r="IJ81" t="e">
        <f>AND(#REF!,"AAAAAH6v+/M=")</f>
        <v>#REF!</v>
      </c>
      <c r="IK81" t="e">
        <f>AND(#REF!,"AAAAAH6v+/Q=")</f>
        <v>#REF!</v>
      </c>
      <c r="IL81" t="e">
        <f>AND(#REF!,"AAAAAH6v+/U=")</f>
        <v>#REF!</v>
      </c>
      <c r="IM81" t="e">
        <f>AND(#REF!,"AAAAAH6v+/Y=")</f>
        <v>#REF!</v>
      </c>
      <c r="IN81" t="e">
        <f>AND(#REF!,"AAAAAH6v+/c=")</f>
        <v>#REF!</v>
      </c>
      <c r="IO81" t="e">
        <f>AND(#REF!,"AAAAAH6v+/g=")</f>
        <v>#REF!</v>
      </c>
      <c r="IP81" t="e">
        <f>AND(#REF!,"AAAAAH6v+/k=")</f>
        <v>#REF!</v>
      </c>
      <c r="IQ81" t="e">
        <f>AND(#REF!,"AAAAAH6v+/o=")</f>
        <v>#REF!</v>
      </c>
      <c r="IR81" t="e">
        <f>AND(#REF!,"AAAAAH6v+/s=")</f>
        <v>#REF!</v>
      </c>
      <c r="IS81" t="e">
        <f>AND(#REF!,"AAAAAH6v+/w=")</f>
        <v>#REF!</v>
      </c>
      <c r="IT81" t="e">
        <f>AND(#REF!,"AAAAAH6v+/0=")</f>
        <v>#REF!</v>
      </c>
      <c r="IU81" t="e">
        <f>AND(#REF!,"AAAAAH6v+/4=")</f>
        <v>#REF!</v>
      </c>
      <c r="IV81" t="e">
        <f>AND(#REF!,"AAAAAH6v+/8=")</f>
        <v>#REF!</v>
      </c>
    </row>
    <row r="82" spans="1:256" x14ac:dyDescent="0.2">
      <c r="A82" t="e">
        <f>AND(#REF!,"AAAAACm+7AA=")</f>
        <v>#REF!</v>
      </c>
      <c r="B82" t="e">
        <f>AND(#REF!,"AAAAACm+7AE=")</f>
        <v>#REF!</v>
      </c>
      <c r="C82" t="e">
        <f>AND(#REF!,"AAAAACm+7AI=")</f>
        <v>#REF!</v>
      </c>
      <c r="D82" t="e">
        <f>AND(#REF!,"AAAAACm+7AM=")</f>
        <v>#REF!</v>
      </c>
      <c r="E82" t="e">
        <f>AND(#REF!,"AAAAACm+7AQ=")</f>
        <v>#REF!</v>
      </c>
      <c r="F82" t="e">
        <f>AND(#REF!,"AAAAACm+7AU=")</f>
        <v>#REF!</v>
      </c>
      <c r="G82" t="e">
        <f>AND(#REF!,"AAAAACm+7AY=")</f>
        <v>#REF!</v>
      </c>
      <c r="H82" t="e">
        <f>AND(#REF!,"AAAAACm+7Ac=")</f>
        <v>#REF!</v>
      </c>
      <c r="I82" t="e">
        <f>AND(#REF!,"AAAAACm+7Ag=")</f>
        <v>#REF!</v>
      </c>
      <c r="J82" t="e">
        <f>AND(#REF!,"AAAAACm+7Ak=")</f>
        <v>#REF!</v>
      </c>
      <c r="K82" t="e">
        <f>AND(#REF!,"AAAAACm+7Ao=")</f>
        <v>#REF!</v>
      </c>
      <c r="L82" t="e">
        <f>AND(#REF!,"AAAAACm+7As=")</f>
        <v>#REF!</v>
      </c>
      <c r="M82" t="e">
        <f>AND(#REF!,"AAAAACm+7Aw=")</f>
        <v>#REF!</v>
      </c>
      <c r="N82" t="e">
        <f>AND(#REF!,"AAAAACm+7A0=")</f>
        <v>#REF!</v>
      </c>
      <c r="O82" t="e">
        <f>AND(#REF!,"AAAAACm+7A4=")</f>
        <v>#REF!</v>
      </c>
      <c r="P82" t="e">
        <f>AND(#REF!,"AAAAACm+7A8=")</f>
        <v>#REF!</v>
      </c>
      <c r="Q82" t="e">
        <f>AND(#REF!,"AAAAACm+7BA=")</f>
        <v>#REF!</v>
      </c>
      <c r="R82" t="e">
        <f>AND(#REF!,"AAAAACm+7BE=")</f>
        <v>#REF!</v>
      </c>
      <c r="S82" t="e">
        <f>AND(#REF!,"AAAAACm+7BI=")</f>
        <v>#REF!</v>
      </c>
      <c r="T82" t="e">
        <f>AND(#REF!,"AAAAACm+7BM=")</f>
        <v>#REF!</v>
      </c>
      <c r="U82" t="e">
        <f>AND(#REF!,"AAAAACm+7BQ=")</f>
        <v>#REF!</v>
      </c>
      <c r="V82" t="e">
        <f>AND(#REF!,"AAAAACm+7BU=")</f>
        <v>#REF!</v>
      </c>
      <c r="W82" t="e">
        <f>AND(#REF!,"AAAAACm+7BY=")</f>
        <v>#REF!</v>
      </c>
      <c r="X82" t="e">
        <f>AND(#REF!,"AAAAACm+7Bc=")</f>
        <v>#REF!</v>
      </c>
      <c r="Y82" t="e">
        <f>AND(#REF!,"AAAAACm+7Bg=")</f>
        <v>#REF!</v>
      </c>
      <c r="Z82" t="e">
        <f>AND(#REF!,"AAAAACm+7Bk=")</f>
        <v>#REF!</v>
      </c>
      <c r="AA82" t="e">
        <f>AND(#REF!,"AAAAACm+7Bo=")</f>
        <v>#REF!</v>
      </c>
      <c r="AB82" t="e">
        <f>AND(#REF!,"AAAAACm+7Bs=")</f>
        <v>#REF!</v>
      </c>
      <c r="AC82" t="e">
        <f>AND(#REF!,"AAAAACm+7Bw=")</f>
        <v>#REF!</v>
      </c>
      <c r="AD82" t="e">
        <f>AND(#REF!,"AAAAACm+7B0=")</f>
        <v>#REF!</v>
      </c>
      <c r="AE82" t="e">
        <f>AND(#REF!,"AAAAACm+7B4=")</f>
        <v>#REF!</v>
      </c>
      <c r="AF82" t="e">
        <f>AND(#REF!,"AAAAACm+7B8=")</f>
        <v>#REF!</v>
      </c>
      <c r="AG82" t="e">
        <f>AND(#REF!,"AAAAACm+7CA=")</f>
        <v>#REF!</v>
      </c>
      <c r="AH82" t="e">
        <f>AND(#REF!,"AAAAACm+7CE=")</f>
        <v>#REF!</v>
      </c>
      <c r="AI82" t="e">
        <f>AND(#REF!,"AAAAACm+7CI=")</f>
        <v>#REF!</v>
      </c>
      <c r="AJ82" t="e">
        <f>AND(#REF!,"AAAAACm+7CM=")</f>
        <v>#REF!</v>
      </c>
      <c r="AK82" t="e">
        <f>AND(#REF!,"AAAAACm+7CQ=")</f>
        <v>#REF!</v>
      </c>
      <c r="AL82" t="e">
        <f>AND(#REF!,"AAAAACm+7CU=")</f>
        <v>#REF!</v>
      </c>
      <c r="AM82" t="e">
        <f>AND(#REF!,"AAAAACm+7CY=")</f>
        <v>#REF!</v>
      </c>
      <c r="AN82" t="e">
        <f>IF(#REF!,"AAAAACm+7Cc=",0)</f>
        <v>#REF!</v>
      </c>
      <c r="AO82" t="e">
        <f>AND(#REF!,"AAAAACm+7Cg=")</f>
        <v>#REF!</v>
      </c>
      <c r="AP82" t="e">
        <f>AND(#REF!,"AAAAACm+7Ck=")</f>
        <v>#REF!</v>
      </c>
      <c r="AQ82" t="e">
        <f>AND(#REF!,"AAAAACm+7Co=")</f>
        <v>#REF!</v>
      </c>
      <c r="AR82" t="e">
        <f>AND(#REF!,"AAAAACm+7Cs=")</f>
        <v>#REF!</v>
      </c>
      <c r="AS82" t="e">
        <f>AND(#REF!,"AAAAACm+7Cw=")</f>
        <v>#REF!</v>
      </c>
      <c r="AT82" t="e">
        <f>AND(#REF!,"AAAAACm+7C0=")</f>
        <v>#REF!</v>
      </c>
      <c r="AU82" t="e">
        <f>AND(#REF!,"AAAAACm+7C4=")</f>
        <v>#REF!</v>
      </c>
      <c r="AV82" t="e">
        <f>AND(#REF!,"AAAAACm+7C8=")</f>
        <v>#REF!</v>
      </c>
      <c r="AW82" t="e">
        <f>AND(#REF!,"AAAAACm+7DA=")</f>
        <v>#REF!</v>
      </c>
      <c r="AX82" t="e">
        <f>AND(#REF!,"AAAAACm+7DE=")</f>
        <v>#REF!</v>
      </c>
      <c r="AY82" t="e">
        <f>AND(#REF!,"AAAAACm+7DI=")</f>
        <v>#REF!</v>
      </c>
      <c r="AZ82" t="e">
        <f>AND(#REF!,"AAAAACm+7DM=")</f>
        <v>#REF!</v>
      </c>
      <c r="BA82" t="e">
        <f>AND(#REF!,"AAAAACm+7DQ=")</f>
        <v>#REF!</v>
      </c>
      <c r="BB82" t="e">
        <f>AND(#REF!,"AAAAACm+7DU=")</f>
        <v>#REF!</v>
      </c>
      <c r="BC82" t="e">
        <f>AND(#REF!,"AAAAACm+7DY=")</f>
        <v>#REF!</v>
      </c>
      <c r="BD82" t="e">
        <f>AND(#REF!,"AAAAACm+7Dc=")</f>
        <v>#REF!</v>
      </c>
      <c r="BE82" t="e">
        <f>AND(#REF!,"AAAAACm+7Dg=")</f>
        <v>#REF!</v>
      </c>
      <c r="BF82" t="e">
        <f>AND(#REF!,"AAAAACm+7Dk=")</f>
        <v>#REF!</v>
      </c>
      <c r="BG82" t="e">
        <f>AND(#REF!,"AAAAACm+7Do=")</f>
        <v>#REF!</v>
      </c>
      <c r="BH82" t="e">
        <f>AND(#REF!,"AAAAACm+7Ds=")</f>
        <v>#REF!</v>
      </c>
      <c r="BI82" t="e">
        <f>AND(#REF!,"AAAAACm+7Dw=")</f>
        <v>#REF!</v>
      </c>
      <c r="BJ82" t="e">
        <f>AND(#REF!,"AAAAACm+7D0=")</f>
        <v>#REF!</v>
      </c>
      <c r="BK82" t="e">
        <f>AND(#REF!,"AAAAACm+7D4=")</f>
        <v>#REF!</v>
      </c>
      <c r="BL82" t="e">
        <f>AND(#REF!,"AAAAACm+7D8=")</f>
        <v>#REF!</v>
      </c>
      <c r="BM82" t="e">
        <f>AND(#REF!,"AAAAACm+7EA=")</f>
        <v>#REF!</v>
      </c>
      <c r="BN82" t="e">
        <f>AND(#REF!,"AAAAACm+7EE=")</f>
        <v>#REF!</v>
      </c>
      <c r="BO82" t="e">
        <f>AND(#REF!,"AAAAACm+7EI=")</f>
        <v>#REF!</v>
      </c>
      <c r="BP82" t="e">
        <f>AND(#REF!,"AAAAACm+7EM=")</f>
        <v>#REF!</v>
      </c>
      <c r="BQ82" t="e">
        <f>AND(#REF!,"AAAAACm+7EQ=")</f>
        <v>#REF!</v>
      </c>
      <c r="BR82" t="e">
        <f>AND(#REF!,"AAAAACm+7EU=")</f>
        <v>#REF!</v>
      </c>
      <c r="BS82" t="e">
        <f>AND(#REF!,"AAAAACm+7EY=")</f>
        <v>#REF!</v>
      </c>
      <c r="BT82" t="e">
        <f>AND(#REF!,"AAAAACm+7Ec=")</f>
        <v>#REF!</v>
      </c>
      <c r="BU82" t="e">
        <f>AND(#REF!,"AAAAACm+7Eg=")</f>
        <v>#REF!</v>
      </c>
      <c r="BV82" t="e">
        <f>AND(#REF!,"AAAAACm+7Ek=")</f>
        <v>#REF!</v>
      </c>
      <c r="BW82" t="e">
        <f>AND(#REF!,"AAAAACm+7Eo=")</f>
        <v>#REF!</v>
      </c>
      <c r="BX82" t="e">
        <f>AND(#REF!,"AAAAACm+7Es=")</f>
        <v>#REF!</v>
      </c>
      <c r="BY82" t="e">
        <f>AND(#REF!,"AAAAACm+7Ew=")</f>
        <v>#REF!</v>
      </c>
      <c r="BZ82" t="e">
        <f>AND(#REF!,"AAAAACm+7E0=")</f>
        <v>#REF!</v>
      </c>
      <c r="CA82" t="e">
        <f>AND(#REF!,"AAAAACm+7E4=")</f>
        <v>#REF!</v>
      </c>
      <c r="CB82" t="e">
        <f>AND(#REF!,"AAAAACm+7E8=")</f>
        <v>#REF!</v>
      </c>
      <c r="CC82" t="e">
        <f>AND(#REF!,"AAAAACm+7FA=")</f>
        <v>#REF!</v>
      </c>
      <c r="CD82" t="e">
        <f>AND(#REF!,"AAAAACm+7FE=")</f>
        <v>#REF!</v>
      </c>
      <c r="CE82" t="e">
        <f>AND(#REF!,"AAAAACm+7FI=")</f>
        <v>#REF!</v>
      </c>
      <c r="CF82" t="e">
        <f>AND(#REF!,"AAAAACm+7FM=")</f>
        <v>#REF!</v>
      </c>
      <c r="CG82" t="e">
        <f>AND(#REF!,"AAAAACm+7FQ=")</f>
        <v>#REF!</v>
      </c>
      <c r="CH82" t="e">
        <f>AND(#REF!,"AAAAACm+7FU=")</f>
        <v>#REF!</v>
      </c>
      <c r="CI82" t="e">
        <f>AND(#REF!,"AAAAACm+7FY=")</f>
        <v>#REF!</v>
      </c>
      <c r="CJ82" t="e">
        <f>AND(#REF!,"AAAAACm+7Fc=")</f>
        <v>#REF!</v>
      </c>
      <c r="CK82" t="e">
        <f>AND(#REF!,"AAAAACm+7Fg=")</f>
        <v>#REF!</v>
      </c>
      <c r="CL82" t="e">
        <f>AND(#REF!,"AAAAACm+7Fk=")</f>
        <v>#REF!</v>
      </c>
      <c r="CM82" t="e">
        <f>AND(#REF!,"AAAAACm+7Fo=")</f>
        <v>#REF!</v>
      </c>
      <c r="CN82" t="e">
        <f>AND(#REF!,"AAAAACm+7Fs=")</f>
        <v>#REF!</v>
      </c>
      <c r="CO82" t="e">
        <f>AND(#REF!,"AAAAACm+7Fw=")</f>
        <v>#REF!</v>
      </c>
      <c r="CP82" t="e">
        <f>AND(#REF!,"AAAAACm+7F0=")</f>
        <v>#REF!</v>
      </c>
      <c r="CQ82" t="e">
        <f>AND(#REF!,"AAAAACm+7F4=")</f>
        <v>#REF!</v>
      </c>
      <c r="CR82" t="e">
        <f>AND(#REF!,"AAAAACm+7F8=")</f>
        <v>#REF!</v>
      </c>
      <c r="CS82" t="e">
        <f>AND(#REF!,"AAAAACm+7GA=")</f>
        <v>#REF!</v>
      </c>
      <c r="CT82" t="e">
        <f>AND(#REF!,"AAAAACm+7GE=")</f>
        <v>#REF!</v>
      </c>
      <c r="CU82" t="e">
        <f>AND(#REF!,"AAAAACm+7GI=")</f>
        <v>#REF!</v>
      </c>
      <c r="CV82" t="e">
        <f>AND(#REF!,"AAAAACm+7GM=")</f>
        <v>#REF!</v>
      </c>
      <c r="CW82" t="e">
        <f>AND(#REF!,"AAAAACm+7GQ=")</f>
        <v>#REF!</v>
      </c>
      <c r="CX82" t="e">
        <f>AND(#REF!,"AAAAACm+7GU=")</f>
        <v>#REF!</v>
      </c>
      <c r="CY82" t="e">
        <f>AND(#REF!,"AAAAACm+7GY=")</f>
        <v>#REF!</v>
      </c>
      <c r="CZ82" t="e">
        <f>AND(#REF!,"AAAAACm+7Gc=")</f>
        <v>#REF!</v>
      </c>
      <c r="DA82" t="e">
        <f>AND(#REF!,"AAAAACm+7Gg=")</f>
        <v>#REF!</v>
      </c>
      <c r="DB82" t="e">
        <f>AND(#REF!,"AAAAACm+7Gk=")</f>
        <v>#REF!</v>
      </c>
      <c r="DC82" t="e">
        <f>AND(#REF!,"AAAAACm+7Go=")</f>
        <v>#REF!</v>
      </c>
      <c r="DD82" t="e">
        <f>AND(#REF!,"AAAAACm+7Gs=")</f>
        <v>#REF!</v>
      </c>
      <c r="DE82" t="e">
        <f>AND(#REF!,"AAAAACm+7Gw=")</f>
        <v>#REF!</v>
      </c>
      <c r="DF82" t="e">
        <f>AND(#REF!,"AAAAACm+7G0=")</f>
        <v>#REF!</v>
      </c>
      <c r="DG82" t="e">
        <f>AND(#REF!,"AAAAACm+7G4=")</f>
        <v>#REF!</v>
      </c>
      <c r="DH82" t="e">
        <f>AND(#REF!,"AAAAACm+7G8=")</f>
        <v>#REF!</v>
      </c>
      <c r="DI82" t="e">
        <f>AND(#REF!,"AAAAACm+7HA=")</f>
        <v>#REF!</v>
      </c>
      <c r="DJ82" t="e">
        <f>AND(#REF!,"AAAAACm+7HE=")</f>
        <v>#REF!</v>
      </c>
      <c r="DK82" t="e">
        <f>IF(#REF!,"AAAAACm+7HI=",0)</f>
        <v>#REF!</v>
      </c>
      <c r="DL82" t="e">
        <f>AND(#REF!,"AAAAACm+7HM=")</f>
        <v>#REF!</v>
      </c>
      <c r="DM82" t="e">
        <f>AND(#REF!,"AAAAACm+7HQ=")</f>
        <v>#REF!</v>
      </c>
      <c r="DN82" t="e">
        <f>AND(#REF!,"AAAAACm+7HU=")</f>
        <v>#REF!</v>
      </c>
      <c r="DO82" t="e">
        <f>AND(#REF!,"AAAAACm+7HY=")</f>
        <v>#REF!</v>
      </c>
      <c r="DP82" t="e">
        <f>AND(#REF!,"AAAAACm+7Hc=")</f>
        <v>#REF!</v>
      </c>
      <c r="DQ82" t="e">
        <f>AND(#REF!,"AAAAACm+7Hg=")</f>
        <v>#REF!</v>
      </c>
      <c r="DR82" t="e">
        <f>AND(#REF!,"AAAAACm+7Hk=")</f>
        <v>#REF!</v>
      </c>
      <c r="DS82" t="e">
        <f>AND(#REF!,"AAAAACm+7Ho=")</f>
        <v>#REF!</v>
      </c>
      <c r="DT82" t="e">
        <f>AND(#REF!,"AAAAACm+7Hs=")</f>
        <v>#REF!</v>
      </c>
      <c r="DU82" t="e">
        <f>AND(#REF!,"AAAAACm+7Hw=")</f>
        <v>#REF!</v>
      </c>
      <c r="DV82" t="e">
        <f>AND(#REF!,"AAAAACm+7H0=")</f>
        <v>#REF!</v>
      </c>
      <c r="DW82" t="e">
        <f>AND(#REF!,"AAAAACm+7H4=")</f>
        <v>#REF!</v>
      </c>
      <c r="DX82" t="e">
        <f>AND(#REF!,"AAAAACm+7H8=")</f>
        <v>#REF!</v>
      </c>
      <c r="DY82" t="e">
        <f>AND(#REF!,"AAAAACm+7IA=")</f>
        <v>#REF!</v>
      </c>
      <c r="DZ82" t="e">
        <f>AND(#REF!,"AAAAACm+7IE=")</f>
        <v>#REF!</v>
      </c>
      <c r="EA82" t="e">
        <f>AND(#REF!,"AAAAACm+7II=")</f>
        <v>#REF!</v>
      </c>
      <c r="EB82" t="e">
        <f>AND(#REF!,"AAAAACm+7IM=")</f>
        <v>#REF!</v>
      </c>
      <c r="EC82" t="e">
        <f>AND(#REF!,"AAAAACm+7IQ=")</f>
        <v>#REF!</v>
      </c>
      <c r="ED82" t="e">
        <f>AND(#REF!,"AAAAACm+7IU=")</f>
        <v>#REF!</v>
      </c>
      <c r="EE82" t="e">
        <f>AND(#REF!,"AAAAACm+7IY=")</f>
        <v>#REF!</v>
      </c>
      <c r="EF82" t="e">
        <f>AND(#REF!,"AAAAACm+7Ic=")</f>
        <v>#REF!</v>
      </c>
      <c r="EG82" t="e">
        <f>AND(#REF!,"AAAAACm+7Ig=")</f>
        <v>#REF!</v>
      </c>
      <c r="EH82" t="e">
        <f>AND(#REF!,"AAAAACm+7Ik=")</f>
        <v>#REF!</v>
      </c>
      <c r="EI82" t="e">
        <f>AND(#REF!,"AAAAACm+7Io=")</f>
        <v>#REF!</v>
      </c>
      <c r="EJ82" t="e">
        <f>AND(#REF!,"AAAAACm+7Is=")</f>
        <v>#REF!</v>
      </c>
      <c r="EK82" t="e">
        <f>AND(#REF!,"AAAAACm+7Iw=")</f>
        <v>#REF!</v>
      </c>
      <c r="EL82" t="e">
        <f>AND(#REF!,"AAAAACm+7I0=")</f>
        <v>#REF!</v>
      </c>
      <c r="EM82" t="e">
        <f>AND(#REF!,"AAAAACm+7I4=")</f>
        <v>#REF!</v>
      </c>
      <c r="EN82" t="e">
        <f>AND(#REF!,"AAAAACm+7I8=")</f>
        <v>#REF!</v>
      </c>
      <c r="EO82" t="e">
        <f>AND(#REF!,"AAAAACm+7JA=")</f>
        <v>#REF!</v>
      </c>
      <c r="EP82" t="e">
        <f>AND(#REF!,"AAAAACm+7JE=")</f>
        <v>#REF!</v>
      </c>
      <c r="EQ82" t="e">
        <f>AND(#REF!,"AAAAACm+7JI=")</f>
        <v>#REF!</v>
      </c>
      <c r="ER82" t="e">
        <f>AND(#REF!,"AAAAACm+7JM=")</f>
        <v>#REF!</v>
      </c>
      <c r="ES82" t="e">
        <f>AND(#REF!,"AAAAACm+7JQ=")</f>
        <v>#REF!</v>
      </c>
      <c r="ET82" t="e">
        <f>AND(#REF!,"AAAAACm+7JU=")</f>
        <v>#REF!</v>
      </c>
      <c r="EU82" t="e">
        <f>AND(#REF!,"AAAAACm+7JY=")</f>
        <v>#REF!</v>
      </c>
      <c r="EV82" t="e">
        <f>AND(#REF!,"AAAAACm+7Jc=")</f>
        <v>#REF!</v>
      </c>
      <c r="EW82" t="e">
        <f>AND(#REF!,"AAAAACm+7Jg=")</f>
        <v>#REF!</v>
      </c>
      <c r="EX82" t="e">
        <f>AND(#REF!,"AAAAACm+7Jk=")</f>
        <v>#REF!</v>
      </c>
      <c r="EY82" t="e">
        <f>AND(#REF!,"AAAAACm+7Jo=")</f>
        <v>#REF!</v>
      </c>
      <c r="EZ82" t="e">
        <f>AND(#REF!,"AAAAACm+7Js=")</f>
        <v>#REF!</v>
      </c>
      <c r="FA82" t="e">
        <f>AND(#REF!,"AAAAACm+7Jw=")</f>
        <v>#REF!</v>
      </c>
      <c r="FB82" t="e">
        <f>AND(#REF!,"AAAAACm+7J0=")</f>
        <v>#REF!</v>
      </c>
      <c r="FC82" t="e">
        <f>AND(#REF!,"AAAAACm+7J4=")</f>
        <v>#REF!</v>
      </c>
      <c r="FD82" t="e">
        <f>AND(#REF!,"AAAAACm+7J8=")</f>
        <v>#REF!</v>
      </c>
      <c r="FE82" t="e">
        <f>AND(#REF!,"AAAAACm+7KA=")</f>
        <v>#REF!</v>
      </c>
      <c r="FF82" t="e">
        <f>AND(#REF!,"AAAAACm+7KE=")</f>
        <v>#REF!</v>
      </c>
      <c r="FG82" t="e">
        <f>AND(#REF!,"AAAAACm+7KI=")</f>
        <v>#REF!</v>
      </c>
      <c r="FH82" t="e">
        <f>AND(#REF!,"AAAAACm+7KM=")</f>
        <v>#REF!</v>
      </c>
      <c r="FI82" t="e">
        <f>AND(#REF!,"AAAAACm+7KQ=")</f>
        <v>#REF!</v>
      </c>
      <c r="FJ82" t="e">
        <f>AND(#REF!,"AAAAACm+7KU=")</f>
        <v>#REF!</v>
      </c>
      <c r="FK82" t="e">
        <f>AND(#REF!,"AAAAACm+7KY=")</f>
        <v>#REF!</v>
      </c>
      <c r="FL82" t="e">
        <f>AND(#REF!,"AAAAACm+7Kc=")</f>
        <v>#REF!</v>
      </c>
      <c r="FM82" t="e">
        <f>AND(#REF!,"AAAAACm+7Kg=")</f>
        <v>#REF!</v>
      </c>
      <c r="FN82" t="e">
        <f>AND(#REF!,"AAAAACm+7Kk=")</f>
        <v>#REF!</v>
      </c>
      <c r="FO82" t="e">
        <f>AND(#REF!,"AAAAACm+7Ko=")</f>
        <v>#REF!</v>
      </c>
      <c r="FP82" t="e">
        <f>AND(#REF!,"AAAAACm+7Ks=")</f>
        <v>#REF!</v>
      </c>
      <c r="FQ82" t="e">
        <f>AND(#REF!,"AAAAACm+7Kw=")</f>
        <v>#REF!</v>
      </c>
      <c r="FR82" t="e">
        <f>AND(#REF!,"AAAAACm+7K0=")</f>
        <v>#REF!</v>
      </c>
      <c r="FS82" t="e">
        <f>AND(#REF!,"AAAAACm+7K4=")</f>
        <v>#REF!</v>
      </c>
      <c r="FT82" t="e">
        <f>AND(#REF!,"AAAAACm+7K8=")</f>
        <v>#REF!</v>
      </c>
      <c r="FU82" t="e">
        <f>AND(#REF!,"AAAAACm+7LA=")</f>
        <v>#REF!</v>
      </c>
      <c r="FV82" t="e">
        <f>AND(#REF!,"AAAAACm+7LE=")</f>
        <v>#REF!</v>
      </c>
      <c r="FW82" t="e">
        <f>AND(#REF!,"AAAAACm+7LI=")</f>
        <v>#REF!</v>
      </c>
      <c r="FX82" t="e">
        <f>AND(#REF!,"AAAAACm+7LM=")</f>
        <v>#REF!</v>
      </c>
      <c r="FY82" t="e">
        <f>AND(#REF!,"AAAAACm+7LQ=")</f>
        <v>#REF!</v>
      </c>
      <c r="FZ82" t="e">
        <f>AND(#REF!,"AAAAACm+7LU=")</f>
        <v>#REF!</v>
      </c>
      <c r="GA82" t="e">
        <f>AND(#REF!,"AAAAACm+7LY=")</f>
        <v>#REF!</v>
      </c>
      <c r="GB82" t="e">
        <f>AND(#REF!,"AAAAACm+7Lc=")</f>
        <v>#REF!</v>
      </c>
      <c r="GC82" t="e">
        <f>AND(#REF!,"AAAAACm+7Lg=")</f>
        <v>#REF!</v>
      </c>
      <c r="GD82" t="e">
        <f>AND(#REF!,"AAAAACm+7Lk=")</f>
        <v>#REF!</v>
      </c>
      <c r="GE82" t="e">
        <f>AND(#REF!,"AAAAACm+7Lo=")</f>
        <v>#REF!</v>
      </c>
      <c r="GF82" t="e">
        <f>AND(#REF!,"AAAAACm+7Ls=")</f>
        <v>#REF!</v>
      </c>
      <c r="GG82" t="e">
        <f>AND(#REF!,"AAAAACm+7Lw=")</f>
        <v>#REF!</v>
      </c>
      <c r="GH82" t="e">
        <f>IF(#REF!,"AAAAACm+7L0=",0)</f>
        <v>#REF!</v>
      </c>
      <c r="GI82" t="e">
        <f>AND(#REF!,"AAAAACm+7L4=")</f>
        <v>#REF!</v>
      </c>
      <c r="GJ82" t="e">
        <f>AND(#REF!,"AAAAACm+7L8=")</f>
        <v>#REF!</v>
      </c>
      <c r="GK82" t="e">
        <f>AND(#REF!,"AAAAACm+7MA=")</f>
        <v>#REF!</v>
      </c>
      <c r="GL82" t="e">
        <f>AND(#REF!,"AAAAACm+7ME=")</f>
        <v>#REF!</v>
      </c>
      <c r="GM82" t="e">
        <f>AND(#REF!,"AAAAACm+7MI=")</f>
        <v>#REF!</v>
      </c>
      <c r="GN82" t="e">
        <f>AND(#REF!,"AAAAACm+7MM=")</f>
        <v>#REF!</v>
      </c>
      <c r="GO82" t="e">
        <f>AND(#REF!,"AAAAACm+7MQ=")</f>
        <v>#REF!</v>
      </c>
      <c r="GP82" t="e">
        <f>AND(#REF!,"AAAAACm+7MU=")</f>
        <v>#REF!</v>
      </c>
      <c r="GQ82" t="e">
        <f>AND(#REF!,"AAAAACm+7MY=")</f>
        <v>#REF!</v>
      </c>
      <c r="GR82" t="e">
        <f>AND(#REF!,"AAAAACm+7Mc=")</f>
        <v>#REF!</v>
      </c>
      <c r="GS82" t="e">
        <f>AND(#REF!,"AAAAACm+7Mg=")</f>
        <v>#REF!</v>
      </c>
      <c r="GT82" t="e">
        <f>AND(#REF!,"AAAAACm+7Mk=")</f>
        <v>#REF!</v>
      </c>
      <c r="GU82" t="e">
        <f>AND(#REF!,"AAAAACm+7Mo=")</f>
        <v>#REF!</v>
      </c>
      <c r="GV82" t="e">
        <f>AND(#REF!,"AAAAACm+7Ms=")</f>
        <v>#REF!</v>
      </c>
      <c r="GW82" t="e">
        <f>AND(#REF!,"AAAAACm+7Mw=")</f>
        <v>#REF!</v>
      </c>
      <c r="GX82" t="e">
        <f>AND(#REF!,"AAAAACm+7M0=")</f>
        <v>#REF!</v>
      </c>
      <c r="GY82" t="e">
        <f>AND(#REF!,"AAAAACm+7M4=")</f>
        <v>#REF!</v>
      </c>
      <c r="GZ82" t="e">
        <f>AND(#REF!,"AAAAACm+7M8=")</f>
        <v>#REF!</v>
      </c>
      <c r="HA82" t="e">
        <f>AND(#REF!,"AAAAACm+7NA=")</f>
        <v>#REF!</v>
      </c>
      <c r="HB82" t="e">
        <f>AND(#REF!,"AAAAACm+7NE=")</f>
        <v>#REF!</v>
      </c>
      <c r="HC82" t="e">
        <f>AND(#REF!,"AAAAACm+7NI=")</f>
        <v>#REF!</v>
      </c>
      <c r="HD82" t="e">
        <f>AND(#REF!,"AAAAACm+7NM=")</f>
        <v>#REF!</v>
      </c>
      <c r="HE82" t="e">
        <f>AND(#REF!,"AAAAACm+7NQ=")</f>
        <v>#REF!</v>
      </c>
      <c r="HF82" t="e">
        <f>AND(#REF!,"AAAAACm+7NU=")</f>
        <v>#REF!</v>
      </c>
      <c r="HG82" t="e">
        <f>AND(#REF!,"AAAAACm+7NY=")</f>
        <v>#REF!</v>
      </c>
      <c r="HH82" t="e">
        <f>AND(#REF!,"AAAAACm+7Nc=")</f>
        <v>#REF!</v>
      </c>
      <c r="HI82" t="e">
        <f>AND(#REF!,"AAAAACm+7Ng=")</f>
        <v>#REF!</v>
      </c>
      <c r="HJ82" t="e">
        <f>AND(#REF!,"AAAAACm+7Nk=")</f>
        <v>#REF!</v>
      </c>
      <c r="HK82" t="e">
        <f>AND(#REF!,"AAAAACm+7No=")</f>
        <v>#REF!</v>
      </c>
      <c r="HL82" t="e">
        <f>AND(#REF!,"AAAAACm+7Ns=")</f>
        <v>#REF!</v>
      </c>
      <c r="HM82" t="e">
        <f>AND(#REF!,"AAAAACm+7Nw=")</f>
        <v>#REF!</v>
      </c>
      <c r="HN82" t="e">
        <f>AND(#REF!,"AAAAACm+7N0=")</f>
        <v>#REF!</v>
      </c>
      <c r="HO82" t="e">
        <f>AND(#REF!,"AAAAACm+7N4=")</f>
        <v>#REF!</v>
      </c>
      <c r="HP82" t="e">
        <f>AND(#REF!,"AAAAACm+7N8=")</f>
        <v>#REF!</v>
      </c>
      <c r="HQ82" t="e">
        <f>AND(#REF!,"AAAAACm+7OA=")</f>
        <v>#REF!</v>
      </c>
      <c r="HR82" t="e">
        <f>AND(#REF!,"AAAAACm+7OE=")</f>
        <v>#REF!</v>
      </c>
      <c r="HS82" t="e">
        <f>AND(#REF!,"AAAAACm+7OI=")</f>
        <v>#REF!</v>
      </c>
      <c r="HT82" t="e">
        <f>AND(#REF!,"AAAAACm+7OM=")</f>
        <v>#REF!</v>
      </c>
      <c r="HU82" t="e">
        <f>AND(#REF!,"AAAAACm+7OQ=")</f>
        <v>#REF!</v>
      </c>
      <c r="HV82" t="e">
        <f>AND(#REF!,"AAAAACm+7OU=")</f>
        <v>#REF!</v>
      </c>
      <c r="HW82" t="e">
        <f>AND(#REF!,"AAAAACm+7OY=")</f>
        <v>#REF!</v>
      </c>
      <c r="HX82" t="e">
        <f>AND(#REF!,"AAAAACm+7Oc=")</f>
        <v>#REF!</v>
      </c>
      <c r="HY82" t="e">
        <f>AND(#REF!,"AAAAACm+7Og=")</f>
        <v>#REF!</v>
      </c>
      <c r="HZ82" t="e">
        <f>AND(#REF!,"AAAAACm+7Ok=")</f>
        <v>#REF!</v>
      </c>
      <c r="IA82" t="e">
        <f>AND(#REF!,"AAAAACm+7Oo=")</f>
        <v>#REF!</v>
      </c>
      <c r="IB82" t="e">
        <f>AND(#REF!,"AAAAACm+7Os=")</f>
        <v>#REF!</v>
      </c>
      <c r="IC82" t="e">
        <f>AND(#REF!,"AAAAACm+7Ow=")</f>
        <v>#REF!</v>
      </c>
      <c r="ID82" t="e">
        <f>AND(#REF!,"AAAAACm+7O0=")</f>
        <v>#REF!</v>
      </c>
      <c r="IE82" t="e">
        <f>AND(#REF!,"AAAAACm+7O4=")</f>
        <v>#REF!</v>
      </c>
      <c r="IF82" t="e">
        <f>AND(#REF!,"AAAAACm+7O8=")</f>
        <v>#REF!</v>
      </c>
      <c r="IG82" t="e">
        <f>AND(#REF!,"AAAAACm+7PA=")</f>
        <v>#REF!</v>
      </c>
      <c r="IH82" t="e">
        <f>AND(#REF!,"AAAAACm+7PE=")</f>
        <v>#REF!</v>
      </c>
      <c r="II82" t="e">
        <f>AND(#REF!,"AAAAACm+7PI=")</f>
        <v>#REF!</v>
      </c>
      <c r="IJ82" t="e">
        <f>AND(#REF!,"AAAAACm+7PM=")</f>
        <v>#REF!</v>
      </c>
      <c r="IK82" t="e">
        <f>AND(#REF!,"AAAAACm+7PQ=")</f>
        <v>#REF!</v>
      </c>
      <c r="IL82" t="e">
        <f>AND(#REF!,"AAAAACm+7PU=")</f>
        <v>#REF!</v>
      </c>
      <c r="IM82" t="e">
        <f>AND(#REF!,"AAAAACm+7PY=")</f>
        <v>#REF!</v>
      </c>
      <c r="IN82" t="e">
        <f>AND(#REF!,"AAAAACm+7Pc=")</f>
        <v>#REF!</v>
      </c>
      <c r="IO82" t="e">
        <f>AND(#REF!,"AAAAACm+7Pg=")</f>
        <v>#REF!</v>
      </c>
      <c r="IP82" t="e">
        <f>AND(#REF!,"AAAAACm+7Pk=")</f>
        <v>#REF!</v>
      </c>
      <c r="IQ82" t="e">
        <f>AND(#REF!,"AAAAACm+7Po=")</f>
        <v>#REF!</v>
      </c>
      <c r="IR82" t="e">
        <f>AND(#REF!,"AAAAACm+7Ps=")</f>
        <v>#REF!</v>
      </c>
      <c r="IS82" t="e">
        <f>AND(#REF!,"AAAAACm+7Pw=")</f>
        <v>#REF!</v>
      </c>
      <c r="IT82" t="e">
        <f>AND(#REF!,"AAAAACm+7P0=")</f>
        <v>#REF!</v>
      </c>
      <c r="IU82" t="e">
        <f>AND(#REF!,"AAAAACm+7P4=")</f>
        <v>#REF!</v>
      </c>
      <c r="IV82" t="e">
        <f>AND(#REF!,"AAAAACm+7P8=")</f>
        <v>#REF!</v>
      </c>
    </row>
    <row r="83" spans="1:256" x14ac:dyDescent="0.2">
      <c r="A83" t="e">
        <f>AND(#REF!,"AAAAAHP95QA=")</f>
        <v>#REF!</v>
      </c>
      <c r="B83" t="e">
        <f>AND(#REF!,"AAAAAHP95QE=")</f>
        <v>#REF!</v>
      </c>
      <c r="C83" t="e">
        <f>AND(#REF!,"AAAAAHP95QI=")</f>
        <v>#REF!</v>
      </c>
      <c r="D83" t="e">
        <f>AND(#REF!,"AAAAAHP95QM=")</f>
        <v>#REF!</v>
      </c>
      <c r="E83" t="e">
        <f>AND(#REF!,"AAAAAHP95QQ=")</f>
        <v>#REF!</v>
      </c>
      <c r="F83" t="e">
        <f>AND(#REF!,"AAAAAHP95QU=")</f>
        <v>#REF!</v>
      </c>
      <c r="G83" t="e">
        <f>AND(#REF!,"AAAAAHP95QY=")</f>
        <v>#REF!</v>
      </c>
      <c r="H83" t="e">
        <f>AND(#REF!,"AAAAAHP95Qc=")</f>
        <v>#REF!</v>
      </c>
      <c r="I83" t="e">
        <f>IF(#REF!,"AAAAAHP95Qg=",0)</f>
        <v>#REF!</v>
      </c>
      <c r="J83" t="e">
        <f>AND(#REF!,"AAAAAHP95Qk=")</f>
        <v>#REF!</v>
      </c>
      <c r="K83" t="e">
        <f>AND(#REF!,"AAAAAHP95Qo=")</f>
        <v>#REF!</v>
      </c>
      <c r="L83" t="e">
        <f>AND(#REF!,"AAAAAHP95Qs=")</f>
        <v>#REF!</v>
      </c>
      <c r="M83" t="e">
        <f>AND(#REF!,"AAAAAHP95Qw=")</f>
        <v>#REF!</v>
      </c>
      <c r="N83" t="e">
        <f>AND(#REF!,"AAAAAHP95Q0=")</f>
        <v>#REF!</v>
      </c>
      <c r="O83" t="e">
        <f>AND(#REF!,"AAAAAHP95Q4=")</f>
        <v>#REF!</v>
      </c>
      <c r="P83" t="e">
        <f>AND(#REF!,"AAAAAHP95Q8=")</f>
        <v>#REF!</v>
      </c>
      <c r="Q83" t="e">
        <f>AND(#REF!,"AAAAAHP95RA=")</f>
        <v>#REF!</v>
      </c>
      <c r="R83" t="e">
        <f>AND(#REF!,"AAAAAHP95RE=")</f>
        <v>#REF!</v>
      </c>
      <c r="S83" t="e">
        <f>AND(#REF!,"AAAAAHP95RI=")</f>
        <v>#REF!</v>
      </c>
      <c r="T83" t="e">
        <f>AND(#REF!,"AAAAAHP95RM=")</f>
        <v>#REF!</v>
      </c>
      <c r="U83" t="e">
        <f>AND(#REF!,"AAAAAHP95RQ=")</f>
        <v>#REF!</v>
      </c>
      <c r="V83" t="e">
        <f>AND(#REF!,"AAAAAHP95RU=")</f>
        <v>#REF!</v>
      </c>
      <c r="W83" t="e">
        <f>AND(#REF!,"AAAAAHP95RY=")</f>
        <v>#REF!</v>
      </c>
      <c r="X83" t="e">
        <f>AND(#REF!,"AAAAAHP95Rc=")</f>
        <v>#REF!</v>
      </c>
      <c r="Y83" t="e">
        <f>AND(#REF!,"AAAAAHP95Rg=")</f>
        <v>#REF!</v>
      </c>
      <c r="Z83" t="e">
        <f>AND(#REF!,"AAAAAHP95Rk=")</f>
        <v>#REF!</v>
      </c>
      <c r="AA83" t="e">
        <f>AND(#REF!,"AAAAAHP95Ro=")</f>
        <v>#REF!</v>
      </c>
      <c r="AB83" t="e">
        <f>AND(#REF!,"AAAAAHP95Rs=")</f>
        <v>#REF!</v>
      </c>
      <c r="AC83" t="e">
        <f>AND(#REF!,"AAAAAHP95Rw=")</f>
        <v>#REF!</v>
      </c>
      <c r="AD83" t="e">
        <f>AND(#REF!,"AAAAAHP95R0=")</f>
        <v>#REF!</v>
      </c>
      <c r="AE83" t="e">
        <f>AND(#REF!,"AAAAAHP95R4=")</f>
        <v>#REF!</v>
      </c>
      <c r="AF83" t="e">
        <f>AND(#REF!,"AAAAAHP95R8=")</f>
        <v>#REF!</v>
      </c>
      <c r="AG83" t="e">
        <f>AND(#REF!,"AAAAAHP95SA=")</f>
        <v>#REF!</v>
      </c>
      <c r="AH83" t="e">
        <f>AND(#REF!,"AAAAAHP95SE=")</f>
        <v>#REF!</v>
      </c>
      <c r="AI83" t="e">
        <f>AND(#REF!,"AAAAAHP95SI=")</f>
        <v>#REF!</v>
      </c>
      <c r="AJ83" t="e">
        <f>AND(#REF!,"AAAAAHP95SM=")</f>
        <v>#REF!</v>
      </c>
      <c r="AK83" t="e">
        <f>AND(#REF!,"AAAAAHP95SQ=")</f>
        <v>#REF!</v>
      </c>
      <c r="AL83" t="e">
        <f>AND(#REF!,"AAAAAHP95SU=")</f>
        <v>#REF!</v>
      </c>
      <c r="AM83" t="e">
        <f>AND(#REF!,"AAAAAHP95SY=")</f>
        <v>#REF!</v>
      </c>
      <c r="AN83" t="e">
        <f>AND(#REF!,"AAAAAHP95Sc=")</f>
        <v>#REF!</v>
      </c>
      <c r="AO83" t="e">
        <f>AND(#REF!,"AAAAAHP95Sg=")</f>
        <v>#REF!</v>
      </c>
      <c r="AP83" t="e">
        <f>AND(#REF!,"AAAAAHP95Sk=")</f>
        <v>#REF!</v>
      </c>
      <c r="AQ83" t="e">
        <f>AND(#REF!,"AAAAAHP95So=")</f>
        <v>#REF!</v>
      </c>
      <c r="AR83" t="e">
        <f>AND(#REF!,"AAAAAHP95Ss=")</f>
        <v>#REF!</v>
      </c>
      <c r="AS83" t="e">
        <f>AND(#REF!,"AAAAAHP95Sw=")</f>
        <v>#REF!</v>
      </c>
      <c r="AT83" t="e">
        <f>AND(#REF!,"AAAAAHP95S0=")</f>
        <v>#REF!</v>
      </c>
      <c r="AU83" t="e">
        <f>AND(#REF!,"AAAAAHP95S4=")</f>
        <v>#REF!</v>
      </c>
      <c r="AV83" t="e">
        <f>AND(#REF!,"AAAAAHP95S8=")</f>
        <v>#REF!</v>
      </c>
      <c r="AW83" t="e">
        <f>AND(#REF!,"AAAAAHP95TA=")</f>
        <v>#REF!</v>
      </c>
      <c r="AX83" t="e">
        <f>AND(#REF!,"AAAAAHP95TE=")</f>
        <v>#REF!</v>
      </c>
      <c r="AY83" t="e">
        <f>AND(#REF!,"AAAAAHP95TI=")</f>
        <v>#REF!</v>
      </c>
      <c r="AZ83" t="e">
        <f>AND(#REF!,"AAAAAHP95TM=")</f>
        <v>#REF!</v>
      </c>
      <c r="BA83" t="e">
        <f>AND(#REF!,"AAAAAHP95TQ=")</f>
        <v>#REF!</v>
      </c>
      <c r="BB83" t="e">
        <f>AND(#REF!,"AAAAAHP95TU=")</f>
        <v>#REF!</v>
      </c>
      <c r="BC83" t="e">
        <f>AND(#REF!,"AAAAAHP95TY=")</f>
        <v>#REF!</v>
      </c>
      <c r="BD83" t="e">
        <f>AND(#REF!,"AAAAAHP95Tc=")</f>
        <v>#REF!</v>
      </c>
      <c r="BE83" t="e">
        <f>AND(#REF!,"AAAAAHP95Tg=")</f>
        <v>#REF!</v>
      </c>
      <c r="BF83" t="e">
        <f>AND(#REF!,"AAAAAHP95Tk=")</f>
        <v>#REF!</v>
      </c>
      <c r="BG83" t="e">
        <f>AND(#REF!,"AAAAAHP95To=")</f>
        <v>#REF!</v>
      </c>
      <c r="BH83" t="e">
        <f>AND(#REF!,"AAAAAHP95Ts=")</f>
        <v>#REF!</v>
      </c>
      <c r="BI83" t="e">
        <f>AND(#REF!,"AAAAAHP95Tw=")</f>
        <v>#REF!</v>
      </c>
      <c r="BJ83" t="e">
        <f>AND(#REF!,"AAAAAHP95T0=")</f>
        <v>#REF!</v>
      </c>
      <c r="BK83" t="e">
        <f>AND(#REF!,"AAAAAHP95T4=")</f>
        <v>#REF!</v>
      </c>
      <c r="BL83" t="e">
        <f>AND(#REF!,"AAAAAHP95T8=")</f>
        <v>#REF!</v>
      </c>
      <c r="BM83" t="e">
        <f>AND(#REF!,"AAAAAHP95UA=")</f>
        <v>#REF!</v>
      </c>
      <c r="BN83" t="e">
        <f>AND(#REF!,"AAAAAHP95UE=")</f>
        <v>#REF!</v>
      </c>
      <c r="BO83" t="e">
        <f>AND(#REF!,"AAAAAHP95UI=")</f>
        <v>#REF!</v>
      </c>
      <c r="BP83" t="e">
        <f>AND(#REF!,"AAAAAHP95UM=")</f>
        <v>#REF!</v>
      </c>
      <c r="BQ83" t="e">
        <f>AND(#REF!,"AAAAAHP95UQ=")</f>
        <v>#REF!</v>
      </c>
      <c r="BR83" t="e">
        <f>AND(#REF!,"AAAAAHP95UU=")</f>
        <v>#REF!</v>
      </c>
      <c r="BS83" t="e">
        <f>AND(#REF!,"AAAAAHP95UY=")</f>
        <v>#REF!</v>
      </c>
      <c r="BT83" t="e">
        <f>AND(#REF!,"AAAAAHP95Uc=")</f>
        <v>#REF!</v>
      </c>
      <c r="BU83" t="e">
        <f>AND(#REF!,"AAAAAHP95Ug=")</f>
        <v>#REF!</v>
      </c>
      <c r="BV83" t="e">
        <f>AND(#REF!,"AAAAAHP95Uk=")</f>
        <v>#REF!</v>
      </c>
      <c r="BW83" t="e">
        <f>AND(#REF!,"AAAAAHP95Uo=")</f>
        <v>#REF!</v>
      </c>
      <c r="BX83" t="e">
        <f>AND(#REF!,"AAAAAHP95Us=")</f>
        <v>#REF!</v>
      </c>
      <c r="BY83" t="e">
        <f>AND(#REF!,"AAAAAHP95Uw=")</f>
        <v>#REF!</v>
      </c>
      <c r="BZ83" t="e">
        <f>AND(#REF!,"AAAAAHP95U0=")</f>
        <v>#REF!</v>
      </c>
      <c r="CA83" t="e">
        <f>AND(#REF!,"AAAAAHP95U4=")</f>
        <v>#REF!</v>
      </c>
      <c r="CB83" t="e">
        <f>AND(#REF!,"AAAAAHP95U8=")</f>
        <v>#REF!</v>
      </c>
      <c r="CC83" t="e">
        <f>AND(#REF!,"AAAAAHP95VA=")</f>
        <v>#REF!</v>
      </c>
      <c r="CD83" t="e">
        <f>AND(#REF!,"AAAAAHP95VE=")</f>
        <v>#REF!</v>
      </c>
      <c r="CE83" t="e">
        <f>AND(#REF!,"AAAAAHP95VI=")</f>
        <v>#REF!</v>
      </c>
      <c r="CF83" t="e">
        <f>IF(#REF!,"AAAAAHP95VM=",0)</f>
        <v>#REF!</v>
      </c>
      <c r="CG83" t="e">
        <f>AND(#REF!,"AAAAAHP95VQ=")</f>
        <v>#REF!</v>
      </c>
      <c r="CH83" t="e">
        <f>IF(#REF!,"AAAAAHP95VU=",0)</f>
        <v>#REF!</v>
      </c>
      <c r="CI83" t="e">
        <f>AND(#REF!,"AAAAAHP95VY=")</f>
        <v>#REF!</v>
      </c>
      <c r="CJ83" t="e">
        <f>IF(#REF!,"AAAAAHP95Vc=",0)</f>
        <v>#REF!</v>
      </c>
      <c r="CK83" t="e">
        <f>AND(#REF!,"AAAAAHP95Vg=")</f>
        <v>#REF!</v>
      </c>
      <c r="CL83" t="e">
        <f>IF(#REF!,"AAAAAHP95Vk=",0)</f>
        <v>#REF!</v>
      </c>
      <c r="CM83" t="e">
        <f>AND(#REF!,"AAAAAHP95Vo=")</f>
        <v>#REF!</v>
      </c>
      <c r="CN83" t="e">
        <f>IF(#REF!,"AAAAAHP95Vs=",0)</f>
        <v>#REF!</v>
      </c>
      <c r="CO83" t="e">
        <f>AND(#REF!,"AAAAAHP95Vw=")</f>
        <v>#REF!</v>
      </c>
      <c r="CP83" t="e">
        <f>IF(#REF!,"AAAAAHP95V0=",0)</f>
        <v>#REF!</v>
      </c>
      <c r="CQ83" t="e">
        <f>AND(#REF!,"AAAAAHP95V4=")</f>
        <v>#REF!</v>
      </c>
      <c r="CR83" t="e">
        <f>IF(#REF!,"AAAAAHP95V8=",0)</f>
        <v>#REF!</v>
      </c>
      <c r="CS83" t="e">
        <f>AND(#REF!,"AAAAAHP95WA=")</f>
        <v>#REF!</v>
      </c>
      <c r="CT83" t="e">
        <f>IF(#REF!,"AAAAAHP95WE=",0)</f>
        <v>#REF!</v>
      </c>
      <c r="CU83" t="e">
        <f>AND(#REF!,"AAAAAHP95WI=")</f>
        <v>#REF!</v>
      </c>
      <c r="CV83" t="e">
        <f>IF(#REF!,"AAAAAHP95WM=",0)</f>
        <v>#REF!</v>
      </c>
      <c r="CW83" t="e">
        <f>AND(#REF!,"AAAAAHP95WQ=")</f>
        <v>#REF!</v>
      </c>
      <c r="CX83" t="e">
        <f>IF(#REF!,"AAAAAHP95WU=",0)</f>
        <v>#REF!</v>
      </c>
      <c r="CY83" t="e">
        <f>AND(#REF!,"AAAAAHP95WY=")</f>
        <v>#REF!</v>
      </c>
      <c r="CZ83" t="e">
        <f>IF(#REF!,"AAAAAHP95Wc=",0)</f>
        <v>#REF!</v>
      </c>
      <c r="DA83" t="e">
        <f>AND(#REF!,"AAAAAHP95Wg=")</f>
        <v>#REF!</v>
      </c>
      <c r="DB83" t="e">
        <f>IF(#REF!,"AAAAAHP95Wk=",0)</f>
        <v>#REF!</v>
      </c>
      <c r="DC83" t="e">
        <f>AND(#REF!,"AAAAAHP95Wo=")</f>
        <v>#REF!</v>
      </c>
      <c r="DD83" t="e">
        <f>IF(#REF!,"AAAAAHP95Ws=",0)</f>
        <v>#REF!</v>
      </c>
      <c r="DE83" t="e">
        <f>AND(#REF!,"AAAAAHP95Ww=")</f>
        <v>#REF!</v>
      </c>
      <c r="DF83" t="e">
        <f>IF(#REF!,"AAAAAHP95W0=",0)</f>
        <v>#REF!</v>
      </c>
      <c r="DG83" t="e">
        <f>AND(#REF!,"AAAAAHP95W4=")</f>
        <v>#REF!</v>
      </c>
      <c r="DH83" t="e">
        <f>IF(#REF!,"AAAAAHP95W8=",0)</f>
        <v>#REF!</v>
      </c>
      <c r="DI83" t="e">
        <f>IF(#REF!,"AAAAAHP95XA=",0)</f>
        <v>#REF!</v>
      </c>
      <c r="DJ83" t="e">
        <f>IF(#REF!,"AAAAAHP95XE=",0)</f>
        <v>#REF!</v>
      </c>
      <c r="DK83" t="e">
        <f>IF(#REF!,"AAAAAHP95XI=",0)</f>
        <v>#REF!</v>
      </c>
      <c r="DL83" t="e">
        <f>IF(#REF!,"AAAAAHP95XM=",0)</f>
        <v>#REF!</v>
      </c>
      <c r="DM83" t="e">
        <f>IF(#REF!,"AAAAAHP95XQ=",0)</f>
        <v>#REF!</v>
      </c>
      <c r="DN83" t="e">
        <f>IF(#REF!,"AAAAAHP95XU=",0)</f>
        <v>#REF!</v>
      </c>
      <c r="DO83" t="e">
        <f>IF(#REF!,"AAAAAHP95XY=",0)</f>
        <v>#REF!</v>
      </c>
      <c r="DP83" t="e">
        <f>IF(#REF!,"AAAAAHP95Xc=",0)</f>
        <v>#REF!</v>
      </c>
      <c r="DQ83" t="e">
        <f>IF(#REF!,"AAAAAHP95Xg=",0)</f>
        <v>#REF!</v>
      </c>
      <c r="DR83" t="e">
        <f>IF(#REF!,"AAAAAHP95Xk=",0)</f>
        <v>#REF!</v>
      </c>
      <c r="DS83" t="e">
        <f>IF(#REF!,"AAAAAHP95Xo=",0)</f>
        <v>#REF!</v>
      </c>
      <c r="DT83" t="e">
        <f>IF(#REF!,"AAAAAHP95Xs=",0)</f>
        <v>#REF!</v>
      </c>
      <c r="DU83" t="e">
        <f>IF(#REF!,"AAAAAHP95Xw=",0)</f>
        <v>#REF!</v>
      </c>
      <c r="DV83" t="e">
        <f>IF(#REF!,"AAAAAHP95X0=",0)</f>
        <v>#REF!</v>
      </c>
      <c r="DW83" t="e">
        <f>IF(#REF!,"AAAAAHP95X4=",0)</f>
        <v>#REF!</v>
      </c>
      <c r="DX83" t="e">
        <f>IF(#REF!,"AAAAAHP95X8=",0)</f>
        <v>#REF!</v>
      </c>
      <c r="DY83" t="e">
        <f>IF(#REF!,"AAAAAHP95YA=",0)</f>
        <v>#REF!</v>
      </c>
      <c r="DZ83" t="e">
        <f>IF(#REF!,"AAAAAHP95YE=",0)</f>
        <v>#REF!</v>
      </c>
      <c r="EA83" t="e">
        <f>IF(#REF!,"AAAAAHP95YI=",0)</f>
        <v>#REF!</v>
      </c>
      <c r="EB83" t="e">
        <f>IF(#REF!,"AAAAAHP95YM=",0)</f>
        <v>#REF!</v>
      </c>
      <c r="EC83" t="e">
        <f>IF(#REF!,"AAAAAHP95YQ=",0)</f>
        <v>#REF!</v>
      </c>
      <c r="ED83" t="e">
        <f>IF(#REF!,"AAAAAHP95YU=",0)</f>
        <v>#REF!</v>
      </c>
      <c r="EE83" t="e">
        <f>IF(#REF!,"AAAAAHP95YY=",0)</f>
        <v>#REF!</v>
      </c>
      <c r="EF83" t="e">
        <f>IF(#REF!,"AAAAAHP95Yc=",0)</f>
        <v>#REF!</v>
      </c>
      <c r="EG83" t="e">
        <f>IF(#REF!,"AAAAAHP95Yg=",0)</f>
        <v>#REF!</v>
      </c>
      <c r="EH83" t="e">
        <f>IF(#REF!,"AAAAAHP95Yk=",0)</f>
        <v>#REF!</v>
      </c>
      <c r="EI83" t="e">
        <f>IF(#REF!,"AAAAAHP95Yo=",0)</f>
        <v>#REF!</v>
      </c>
      <c r="EJ83" t="e">
        <f>IF(#REF!,"AAAAAHP95Ys=",0)</f>
        <v>#REF!</v>
      </c>
      <c r="EK83" t="e">
        <f>IF(#REF!,"AAAAAHP95Yw=",0)</f>
        <v>#REF!</v>
      </c>
      <c r="EL83" t="e">
        <f>IF(#REF!,"AAAAAHP95Y0=",0)</f>
        <v>#REF!</v>
      </c>
      <c r="EM83" t="e">
        <f>IF(#REF!,"AAAAAHP95Y4=",0)</f>
        <v>#REF!</v>
      </c>
      <c r="EN83" t="e">
        <f>IF(#REF!,"AAAAAHP95Y8=",0)</f>
        <v>#REF!</v>
      </c>
      <c r="EO83" t="e">
        <f>IF(#REF!,"AAAAAHP95ZA=",0)</f>
        <v>#REF!</v>
      </c>
      <c r="EP83" t="e">
        <f>IF(#REF!,"AAAAAHP95ZE=",0)</f>
        <v>#REF!</v>
      </c>
      <c r="EQ83" t="e">
        <f>IF(#REF!,"AAAAAHP95ZI=",0)</f>
        <v>#REF!</v>
      </c>
      <c r="ER83" t="e">
        <f>IF(#REF!,"AAAAAHP95ZM=",0)</f>
        <v>#REF!</v>
      </c>
      <c r="ES83" t="e">
        <f>IF(#REF!,"AAAAAHP95ZQ=",0)</f>
        <v>#REF!</v>
      </c>
      <c r="ET83" t="e">
        <f>IF(#REF!,"AAAAAHP95ZU=",0)</f>
        <v>#REF!</v>
      </c>
      <c r="EU83" t="e">
        <f>IF(#REF!,"AAAAAHP95ZY=",0)</f>
        <v>#REF!</v>
      </c>
      <c r="EV83" t="e">
        <f>IF(#REF!,"AAAAAHP95Zc=",0)</f>
        <v>#REF!</v>
      </c>
      <c r="EW83" t="e">
        <f>IF(#REF!,"AAAAAHP95Zg=",0)</f>
        <v>#REF!</v>
      </c>
      <c r="EX83" t="e">
        <f>IF(#REF!,"AAAAAHP95Zk=",0)</f>
        <v>#REF!</v>
      </c>
      <c r="EY83" t="e">
        <f>IF(#REF!,"AAAAAHP95Zo=",0)</f>
        <v>#REF!</v>
      </c>
      <c r="EZ83" t="e">
        <f>IF(#REF!,"AAAAAHP95Zs=",0)</f>
        <v>#REF!</v>
      </c>
      <c r="FA83" t="e">
        <f>IF(#REF!,"AAAAAHP95Zw=",0)</f>
        <v>#REF!</v>
      </c>
      <c r="FB83" t="e">
        <f>IF(#REF!,"AAAAAHP95Z0=",0)</f>
        <v>#REF!</v>
      </c>
      <c r="FC83" t="e">
        <f>IF(#REF!,"AAAAAHP95Z4=",0)</f>
        <v>#REF!</v>
      </c>
      <c r="FD83" t="e">
        <f>IF(#REF!,"AAAAAHP95Z8=",0)</f>
        <v>#REF!</v>
      </c>
      <c r="FE83" t="e">
        <f>IF(#REF!,"AAAAAHP95aA=",0)</f>
        <v>#REF!</v>
      </c>
      <c r="FF83" t="e">
        <f>IF(#REF!,"AAAAAHP95aE=",0)</f>
        <v>#REF!</v>
      </c>
      <c r="FG83" t="e">
        <f>IF(#REF!,"AAAAAHP95aI=",0)</f>
        <v>#REF!</v>
      </c>
      <c r="FH83" t="e">
        <f>IF(#REF!,"AAAAAHP95aM=",0)</f>
        <v>#REF!</v>
      </c>
      <c r="FI83" t="e">
        <f>IF(#REF!,"AAAAAHP95aQ=",0)</f>
        <v>#REF!</v>
      </c>
      <c r="FJ83" t="e">
        <f>IF(#REF!,"AAAAAHP95aU=",0)</f>
        <v>#REF!</v>
      </c>
      <c r="FK83" t="e">
        <f>IF(#REF!,"AAAAAHP95aY=",0)</f>
        <v>#REF!</v>
      </c>
      <c r="FL83" t="e">
        <f>IF(#REF!,"AAAAAHP95ac=",0)</f>
        <v>#REF!</v>
      </c>
      <c r="FM83" t="e">
        <f>IF(#REF!,"AAAAAHP95ag=",0)</f>
        <v>#REF!</v>
      </c>
      <c r="FN83" t="e">
        <f>IF(#REF!,"AAAAAHP95ak=",0)</f>
        <v>#REF!</v>
      </c>
      <c r="FO83" t="e">
        <f>IF(#REF!,"AAAAAHP95ao=",0)</f>
        <v>#REF!</v>
      </c>
      <c r="FP83" t="e">
        <f>IF(#REF!,"AAAAAHP95as=",0)</f>
        <v>#REF!</v>
      </c>
      <c r="FQ83" t="e">
        <f>IF(#REF!,"AAAAAHP95aw=",0)</f>
        <v>#REF!</v>
      </c>
      <c r="FR83" t="e">
        <f>IF(#REF!,"AAAAAHP95a0=",0)</f>
        <v>#REF!</v>
      </c>
      <c r="FS83" t="e">
        <f>IF(#REF!,"AAAAAHP95a4=",0)</f>
        <v>#REF!</v>
      </c>
      <c r="FT83" t="e">
        <f>IF(#REF!,"AAAAAHP95a8=",0)</f>
        <v>#REF!</v>
      </c>
      <c r="FU83" t="e">
        <f>IF(#REF!,"AAAAAHP95bA=",0)</f>
        <v>#REF!</v>
      </c>
      <c r="FV83" t="e">
        <f>IF(#REF!,"AAAAAHP95bE=",0)</f>
        <v>#REF!</v>
      </c>
      <c r="FW83" t="e">
        <f>IF(#REF!,"AAAAAHP95bI=",0)</f>
        <v>#REF!</v>
      </c>
      <c r="FX83" t="e">
        <f>IF(#REF!,"AAAAAHP95bM=",0)</f>
        <v>#REF!</v>
      </c>
      <c r="FY83" t="e">
        <f>IF(#REF!,"AAAAAHP95bQ=",0)</f>
        <v>#REF!</v>
      </c>
      <c r="FZ83" t="e">
        <f>IF(#REF!,"AAAAAHP95bU=",0)</f>
        <v>#REF!</v>
      </c>
      <c r="GA83" t="e">
        <f>IF(#REF!,"AAAAAHP95bY=",0)</f>
        <v>#REF!</v>
      </c>
      <c r="GB83" t="e">
        <f>IF(#REF!,"AAAAAHP95bc=",0)</f>
        <v>#REF!</v>
      </c>
      <c r="GC83" t="e">
        <f>IF(#REF!,"AAAAAHP95bg=",0)</f>
        <v>#REF!</v>
      </c>
      <c r="GD83" t="e">
        <f>IF(#REF!,"AAAAAHP95bk=",0)</f>
        <v>#REF!</v>
      </c>
      <c r="GE83" t="s">
        <v>18</v>
      </c>
    </row>
    <row r="84" spans="1:256" x14ac:dyDescent="0.2">
      <c r="A84" t="s">
        <v>19</v>
      </c>
    </row>
    <row r="85" spans="1:256" x14ac:dyDescent="0.2">
      <c r="A85" t="e">
        <f>AND(INPUT!C12,"AAAAAHn9/QA=")</f>
        <v>#VALUE!</v>
      </c>
      <c r="B85" t="e">
        <f>AND(INPUT!D12,"AAAAAHn9/QE=")</f>
        <v>#VALUE!</v>
      </c>
      <c r="C85" t="e">
        <f>AND(INPUT!E12,"AAAAAHn9/QI=")</f>
        <v>#VALUE!</v>
      </c>
      <c r="D85" t="e">
        <f>AND(INPUT!G12,"AAAAAHn9/QM=")</f>
        <v>#VALUE!</v>
      </c>
      <c r="E85" t="e">
        <f>AND(INPUT!J64,"AAAAAHn9/QQ=")</f>
        <v>#VALUE!</v>
      </c>
      <c r="F85" t="e">
        <f>AND(INPUT!K64,"AAAAAHn9/QU=")</f>
        <v>#VALUE!</v>
      </c>
      <c r="G85" t="e">
        <f>AND(INPUT!#REF!,"AAAAAHn9/QY=")</f>
        <v>#REF!</v>
      </c>
      <c r="H85" t="e">
        <f>AND(INPUT!#REF!,"AAAAAHn9/Qc=")</f>
        <v>#REF!</v>
      </c>
      <c r="I85" t="e">
        <f>AND(INPUT!C69,"AAAAAHn9/Qg=")</f>
        <v>#VALUE!</v>
      </c>
      <c r="J85" t="e">
        <f>AND(INPUT!D69,"AAAAAHn9/Qk=")</f>
        <v>#VALUE!</v>
      </c>
      <c r="K85" t="e">
        <f>AND(INPUT!E69,"AAAAAHn9/Qo=")</f>
        <v>#VALUE!</v>
      </c>
      <c r="L85" t="e">
        <f>AND(INPUT!G69,"AAAAAHn9/Qs=")</f>
        <v>#VALUE!</v>
      </c>
      <c r="M85" t="e">
        <f>AND(INPUT!#REF!,"AAAAAHn9/Qw=")</f>
        <v>#REF!</v>
      </c>
      <c r="N85" t="e">
        <f>AND(INPUT!H69,"AAAAAHn9/Q0=")</f>
        <v>#VALUE!</v>
      </c>
      <c r="O85" t="e">
        <f>AND(INPUT!#REF!,"AAAAAHn9/Q4=")</f>
        <v>#REF!</v>
      </c>
      <c r="P85" t="e">
        <f>AND(INPUT!I65,"AAAAAHn9/Q8=")</f>
        <v>#VALUE!</v>
      </c>
      <c r="Q85" t="e">
        <f>AND(INPUT!#REF!,"AAAAAHn9/RA=")</f>
        <v>#REF!</v>
      </c>
      <c r="R85" t="e">
        <f>AND(INPUT!J65,"AAAAAHn9/RE=")</f>
        <v>#VALUE!</v>
      </c>
      <c r="S85" t="e">
        <f>AND(INPUT!K65,"AAAAAHn9/RI=")</f>
        <v>#VALUE!</v>
      </c>
      <c r="T85" t="e">
        <f>AND(INPUT!#REF!,"AAAAAHn9/RM=")</f>
        <v>#REF!</v>
      </c>
      <c r="U85" t="e">
        <f>AND(INPUT!#REF!,"AAAAAHn9/RQ=")</f>
        <v>#REF!</v>
      </c>
      <c r="V85" t="e">
        <f>AND(INPUT!C70,"AAAAAHn9/RU=")</f>
        <v>#VALUE!</v>
      </c>
      <c r="W85" t="e">
        <f>AND(INPUT!D70,"AAAAAHn9/RY=")</f>
        <v>#VALUE!</v>
      </c>
      <c r="X85" t="e">
        <f>AND(INPUT!E70,"AAAAAHn9/Rc=")</f>
        <v>#VALUE!</v>
      </c>
      <c r="Y85" t="e">
        <f>AND(INPUT!G70,"AAAAAHn9/Rg=")</f>
        <v>#VALUE!</v>
      </c>
      <c r="Z85" t="e">
        <f>AND(INPUT!#REF!,"AAAAAHn9/Rk=")</f>
        <v>#REF!</v>
      </c>
      <c r="AA85" t="e">
        <f>AND(INPUT!H70,"AAAAAHn9/Ro=")</f>
        <v>#VALUE!</v>
      </c>
      <c r="AB85" t="e">
        <f>AND(INPUT!#REF!,"AAAAAHn9/Rs=")</f>
        <v>#REF!</v>
      </c>
      <c r="AC85" t="e">
        <f>AND(INPUT!I66,"AAAAAHn9/Rw=")</f>
        <v>#VALUE!</v>
      </c>
      <c r="AD85" t="e">
        <f>AND(INPUT!#REF!,"AAAAAHn9/R0=")</f>
        <v>#REF!</v>
      </c>
      <c r="AE85" t="e">
        <f>AND(INPUT!J66,"AAAAAHn9/R4=")</f>
        <v>#VALUE!</v>
      </c>
      <c r="AF85" t="e">
        <f>AND(INPUT!K66,"AAAAAHn9/R8=")</f>
        <v>#VALUE!</v>
      </c>
      <c r="AG85" t="e">
        <f>AND(INPUT!#REF!,"AAAAAHn9/SA=")</f>
        <v>#REF!</v>
      </c>
      <c r="AH85" t="e">
        <f>AND(INPUT!#REF!,"AAAAAHn9/SE=")</f>
        <v>#REF!</v>
      </c>
      <c r="AI85" t="e">
        <f>AND(INPUT!C71,"AAAAAHn9/SI=")</f>
        <v>#VALUE!</v>
      </c>
      <c r="AJ85" t="e">
        <f>AND(INPUT!D71,"AAAAAHn9/SM=")</f>
        <v>#VALUE!</v>
      </c>
      <c r="AK85" t="e">
        <f>AND(INPUT!E71,"AAAAAHn9/SQ=")</f>
        <v>#VALUE!</v>
      </c>
      <c r="AL85" t="e">
        <f>AND(INPUT!G71,"AAAAAHn9/SU=")</f>
        <v>#VALUE!</v>
      </c>
      <c r="AM85" t="e">
        <f>AND(INPUT!#REF!,"AAAAAHn9/SY=")</f>
        <v>#REF!</v>
      </c>
      <c r="AN85" t="e">
        <f>AND(INPUT!H71,"AAAAAHn9/Sc=")</f>
        <v>#VALUE!</v>
      </c>
      <c r="AO85" t="e">
        <f>AND(INPUT!#REF!,"AAAAAHn9/Sg=")</f>
        <v>#REF!</v>
      </c>
      <c r="AP85" t="e">
        <f>AND(INPUT!I67,"AAAAAHn9/Sk=")</f>
        <v>#VALUE!</v>
      </c>
      <c r="AQ85" t="e">
        <f>AND(INPUT!#REF!,"AAAAAHn9/So=")</f>
        <v>#REF!</v>
      </c>
      <c r="AR85" t="e">
        <f>AND(INPUT!J67,"AAAAAHn9/Ss=")</f>
        <v>#VALUE!</v>
      </c>
      <c r="AS85" t="e">
        <f>AND(INPUT!K67,"AAAAAHn9/Sw=")</f>
        <v>#VALUE!</v>
      </c>
      <c r="AT85" t="e">
        <f>AND(INPUT!#REF!,"AAAAAHn9/S0=")</f>
        <v>#REF!</v>
      </c>
      <c r="AU85" t="e">
        <f>AND(INPUT!#REF!,"AAAAAHn9/S4=")</f>
        <v>#REF!</v>
      </c>
      <c r="AV85" t="e">
        <f>AND(INPUT!C72,"AAAAAHn9/S8=")</f>
        <v>#VALUE!</v>
      </c>
      <c r="AW85" t="e">
        <f>AND(INPUT!D72,"AAAAAHn9/TA=")</f>
        <v>#VALUE!</v>
      </c>
      <c r="AX85" t="e">
        <f>AND(INPUT!E72,"AAAAAHn9/TE=")</f>
        <v>#VALUE!</v>
      </c>
      <c r="AY85" t="e">
        <f>AND(INPUT!G72,"AAAAAHn9/TI=")</f>
        <v>#VALUE!</v>
      </c>
      <c r="AZ85" t="e">
        <f>AND(INPUT!#REF!,"AAAAAHn9/TM=")</f>
        <v>#REF!</v>
      </c>
      <c r="BA85" t="e">
        <f>AND(INPUT!H72,"AAAAAHn9/TQ=")</f>
        <v>#VALUE!</v>
      </c>
      <c r="BB85" t="e">
        <f>AND(INPUT!#REF!,"AAAAAHn9/TU=")</f>
        <v>#REF!</v>
      </c>
      <c r="BC85" t="e">
        <f>AND(INPUT!I68,"AAAAAHn9/TY=")</f>
        <v>#VALUE!</v>
      </c>
      <c r="BD85" t="e">
        <f>AND(INPUT!#REF!,"AAAAAHn9/Tc=")</f>
        <v>#REF!</v>
      </c>
      <c r="BE85" t="e">
        <f>AND(INPUT!J68,"AAAAAHn9/Tg=")</f>
        <v>#VALUE!</v>
      </c>
      <c r="BF85" t="e">
        <f>AND(INPUT!K68,"AAAAAHn9/Tk=")</f>
        <v>#VALUE!</v>
      </c>
      <c r="BG85" t="e">
        <f>AND(INPUT!#REF!,"AAAAAHn9/To=")</f>
        <v>#REF!</v>
      </c>
      <c r="BH85" t="e">
        <f>AND(INPUT!#REF!,"AAAAAHn9/Ts=")</f>
        <v>#REF!</v>
      </c>
      <c r="BI85" t="e">
        <f>AND(INPUT!C73,"AAAAAHn9/Tw=")</f>
        <v>#VALUE!</v>
      </c>
      <c r="BJ85" t="e">
        <f>AND(INPUT!D73,"AAAAAHn9/T0=")</f>
        <v>#VALUE!</v>
      </c>
      <c r="BK85" t="e">
        <f>AND(INPUT!E73,"AAAAAHn9/T4=")</f>
        <v>#VALUE!</v>
      </c>
      <c r="BL85" t="e">
        <f>AND(INPUT!G73,"AAAAAHn9/T8=")</f>
        <v>#VALUE!</v>
      </c>
      <c r="BM85" t="e">
        <f>AND(INPUT!#REF!,"AAAAAHn9/UA=")</f>
        <v>#REF!</v>
      </c>
      <c r="BN85" t="e">
        <f>AND(INPUT!H73,"AAAAAHn9/UE=")</f>
        <v>#VALUE!</v>
      </c>
      <c r="BO85" t="e">
        <f>AND(INPUT!#REF!,"AAAAAHn9/UI=")</f>
        <v>#REF!</v>
      </c>
      <c r="BP85" t="e">
        <f>AND(INPUT!I69,"AAAAAHn9/UM=")</f>
        <v>#VALUE!</v>
      </c>
      <c r="BQ85" t="e">
        <f>AND(INPUT!#REF!,"AAAAAHn9/UQ=")</f>
        <v>#REF!</v>
      </c>
      <c r="BR85" t="e">
        <f>AND(INPUT!J69,"AAAAAHn9/UU=")</f>
        <v>#VALUE!</v>
      </c>
      <c r="BS85" t="e">
        <f>AND(INPUT!K69,"AAAAAHn9/UY=")</f>
        <v>#VALUE!</v>
      </c>
      <c r="BT85" t="e">
        <f>AND(INPUT!#REF!,"AAAAAHn9/Uc=")</f>
        <v>#REF!</v>
      </c>
      <c r="BU85" t="e">
        <f>AND(INPUT!#REF!,"AAAAAHn9/Ug=")</f>
        <v>#REF!</v>
      </c>
      <c r="BV85" t="e">
        <f>AND(INPUT!C74,"AAAAAHn9/Uk=")</f>
        <v>#VALUE!</v>
      </c>
      <c r="BW85" t="e">
        <f>AND(INPUT!D74,"AAAAAHn9/Uo=")</f>
        <v>#VALUE!</v>
      </c>
      <c r="BX85" t="e">
        <f>AND(INPUT!E74,"AAAAAHn9/Us=")</f>
        <v>#VALUE!</v>
      </c>
      <c r="BY85" t="e">
        <f>AND(INPUT!G74,"AAAAAHn9/Uw=")</f>
        <v>#VALUE!</v>
      </c>
      <c r="BZ85" t="e">
        <f>AND(INPUT!#REF!,"AAAAAHn9/U0=")</f>
        <v>#REF!</v>
      </c>
      <c r="CA85" t="e">
        <f>AND(INPUT!H74,"AAAAAHn9/U4=")</f>
        <v>#VALUE!</v>
      </c>
      <c r="CB85" t="e">
        <f>AND(INPUT!#REF!,"AAAAAHn9/U8=")</f>
        <v>#REF!</v>
      </c>
      <c r="CC85" t="e">
        <f>AND(INPUT!I70,"AAAAAHn9/VA=")</f>
        <v>#VALUE!</v>
      </c>
      <c r="CD85" t="e">
        <f>AND(INPUT!#REF!,"AAAAAHn9/VE=")</f>
        <v>#REF!</v>
      </c>
      <c r="CE85" t="e">
        <f>AND(INPUT!J70,"AAAAAHn9/VI=")</f>
        <v>#VALUE!</v>
      </c>
      <c r="CF85" t="e">
        <f>AND(INPUT!K70,"AAAAAHn9/VM=")</f>
        <v>#VALUE!</v>
      </c>
      <c r="CG85" t="e">
        <f>AND(INPUT!#REF!,"AAAAAHn9/VQ=")</f>
        <v>#REF!</v>
      </c>
      <c r="CH85" t="e">
        <f>AND(INPUT!#REF!,"AAAAAHn9/VU=")</f>
        <v>#REF!</v>
      </c>
      <c r="CI85" t="e">
        <f>AND(INPUT!C75,"AAAAAHn9/VY=")</f>
        <v>#VALUE!</v>
      </c>
      <c r="CJ85" t="e">
        <f>AND(INPUT!D75,"AAAAAHn9/Vc=")</f>
        <v>#VALUE!</v>
      </c>
      <c r="CK85" t="e">
        <f>AND(INPUT!E75,"AAAAAHn9/Vg=")</f>
        <v>#VALUE!</v>
      </c>
      <c r="CL85" t="e">
        <f>AND(INPUT!G75,"AAAAAHn9/Vk=")</f>
        <v>#VALUE!</v>
      </c>
      <c r="CM85" t="e">
        <f>AND(INPUT!#REF!,"AAAAAHn9/Vo=")</f>
        <v>#REF!</v>
      </c>
      <c r="CN85" t="e">
        <f>AND(INPUT!H75,"AAAAAHn9/Vs=")</f>
        <v>#VALUE!</v>
      </c>
      <c r="CO85" t="e">
        <f>AND(INPUT!#REF!,"AAAAAHn9/Vw=")</f>
        <v>#REF!</v>
      </c>
      <c r="CP85" t="e">
        <f>AND(INPUT!I71,"AAAAAHn9/V0=")</f>
        <v>#VALUE!</v>
      </c>
      <c r="CQ85" t="e">
        <f>AND(INPUT!#REF!,"AAAAAHn9/V4=")</f>
        <v>#REF!</v>
      </c>
      <c r="CR85" t="e">
        <f>AND(INPUT!J71,"AAAAAHn9/V8=")</f>
        <v>#VALUE!</v>
      </c>
      <c r="CS85" t="e">
        <f>AND(INPUT!K71,"AAAAAHn9/WA=")</f>
        <v>#VALUE!</v>
      </c>
      <c r="CT85" t="e">
        <f>AND(INPUT!#REF!,"AAAAAHn9/WE=")</f>
        <v>#REF!</v>
      </c>
      <c r="CU85" t="e">
        <f>AND(INPUT!#REF!,"AAAAAHn9/WI=")</f>
        <v>#REF!</v>
      </c>
      <c r="CV85" t="e">
        <f>AND(INPUT!C76,"AAAAAHn9/WM=")</f>
        <v>#VALUE!</v>
      </c>
      <c r="CW85" t="e">
        <f>AND(INPUT!D76,"AAAAAHn9/WQ=")</f>
        <v>#VALUE!</v>
      </c>
      <c r="CX85" t="e">
        <f>AND(INPUT!E76,"AAAAAHn9/WU=")</f>
        <v>#VALUE!</v>
      </c>
      <c r="CY85" t="e">
        <f>AND(INPUT!G76,"AAAAAHn9/WY=")</f>
        <v>#VALUE!</v>
      </c>
      <c r="CZ85" t="e">
        <f>AND(INPUT!#REF!,"AAAAAHn9/Wc=")</f>
        <v>#REF!</v>
      </c>
      <c r="DA85" t="e">
        <f>AND(INPUT!H76,"AAAAAHn9/Wg=")</f>
        <v>#VALUE!</v>
      </c>
      <c r="DB85" t="e">
        <f>AND(INPUT!#REF!,"AAAAAHn9/Wk=")</f>
        <v>#REF!</v>
      </c>
      <c r="DC85" t="e">
        <f>AND(INPUT!I72,"AAAAAHn9/Wo=")</f>
        <v>#VALUE!</v>
      </c>
      <c r="DD85" t="e">
        <f>AND(INPUT!#REF!,"AAAAAHn9/Ws=")</f>
        <v>#REF!</v>
      </c>
      <c r="DE85" t="e">
        <f>AND(INPUT!J72,"AAAAAHn9/Ww=")</f>
        <v>#VALUE!</v>
      </c>
      <c r="DF85" t="e">
        <f>AND(INPUT!K72,"AAAAAHn9/W0=")</f>
        <v>#VALUE!</v>
      </c>
      <c r="DG85" t="e">
        <f>AND(INPUT!#REF!,"AAAAAHn9/W4=")</f>
        <v>#REF!</v>
      </c>
      <c r="DH85" t="e">
        <f>AND(INPUT!#REF!,"AAAAAHn9/W8=")</f>
        <v>#REF!</v>
      </c>
      <c r="DI85" t="e">
        <f>AND(INPUT!C77,"AAAAAHn9/XA=")</f>
        <v>#VALUE!</v>
      </c>
      <c r="DJ85" t="e">
        <f>AND(INPUT!D77,"AAAAAHn9/XE=")</f>
        <v>#VALUE!</v>
      </c>
      <c r="DK85" t="e">
        <f>AND(INPUT!E77,"AAAAAHn9/XI=")</f>
        <v>#VALUE!</v>
      </c>
      <c r="DL85" t="e">
        <f>AND(INPUT!G77,"AAAAAHn9/XM=")</f>
        <v>#VALUE!</v>
      </c>
      <c r="DM85" t="e">
        <f>AND(INPUT!#REF!,"AAAAAHn9/XQ=")</f>
        <v>#REF!</v>
      </c>
      <c r="DN85" t="e">
        <f>AND(INPUT!H77,"AAAAAHn9/XU=")</f>
        <v>#VALUE!</v>
      </c>
      <c r="DO85" t="e">
        <f>AND(INPUT!#REF!,"AAAAAHn9/XY=")</f>
        <v>#REF!</v>
      </c>
      <c r="DP85" t="e">
        <f>AND(INPUT!I73,"AAAAAHn9/Xc=")</f>
        <v>#VALUE!</v>
      </c>
      <c r="DQ85" t="e">
        <f>AND(INPUT!#REF!,"AAAAAHn9/Xg=")</f>
        <v>#REF!</v>
      </c>
      <c r="DR85" t="e">
        <f>AND(INPUT!J73,"AAAAAHn9/Xk=")</f>
        <v>#VALUE!</v>
      </c>
      <c r="DS85" t="e">
        <f>AND(INPUT!K73,"AAAAAHn9/Xo=")</f>
        <v>#VALUE!</v>
      </c>
      <c r="DT85" t="e">
        <f>AND(INPUT!#REF!,"AAAAAHn9/Xs=")</f>
        <v>#REF!</v>
      </c>
      <c r="DU85" t="e">
        <f>AND(INPUT!#REF!,"AAAAAHn9/Xw=")</f>
        <v>#REF!</v>
      </c>
      <c r="DV85" t="e">
        <f>AND(INPUT!C78,"AAAAAHn9/X0=")</f>
        <v>#VALUE!</v>
      </c>
      <c r="DW85" t="e">
        <f>AND(INPUT!D78,"AAAAAHn9/X4=")</f>
        <v>#VALUE!</v>
      </c>
      <c r="DX85" t="e">
        <f>AND(INPUT!E78,"AAAAAHn9/X8=")</f>
        <v>#VALUE!</v>
      </c>
      <c r="DY85" t="e">
        <f>AND(INPUT!G78,"AAAAAHn9/YA=")</f>
        <v>#VALUE!</v>
      </c>
      <c r="DZ85" t="e">
        <f>AND(INPUT!#REF!,"AAAAAHn9/YE=")</f>
        <v>#REF!</v>
      </c>
      <c r="EA85" t="e">
        <f>AND(INPUT!H78,"AAAAAHn9/YI=")</f>
        <v>#VALUE!</v>
      </c>
      <c r="EB85" t="e">
        <f>AND(INPUT!#REF!,"AAAAAHn9/YM=")</f>
        <v>#REF!</v>
      </c>
      <c r="EC85" t="e">
        <f>AND(INPUT!I74,"AAAAAHn9/YQ=")</f>
        <v>#VALUE!</v>
      </c>
      <c r="ED85" t="e">
        <f>AND(INPUT!#REF!,"AAAAAHn9/YU=")</f>
        <v>#REF!</v>
      </c>
      <c r="EE85" t="e">
        <f>AND(INPUT!J74,"AAAAAHn9/YY=")</f>
        <v>#VALUE!</v>
      </c>
      <c r="EF85" t="e">
        <f>AND(INPUT!K74,"AAAAAHn9/Yc=")</f>
        <v>#VALUE!</v>
      </c>
      <c r="EG85" t="e">
        <f>AND(INPUT!#REF!,"AAAAAHn9/Yg=")</f>
        <v>#REF!</v>
      </c>
      <c r="EH85" t="e">
        <f>AND(INPUT!#REF!,"AAAAAHn9/Yk=")</f>
        <v>#REF!</v>
      </c>
      <c r="EI85" t="s">
        <v>20</v>
      </c>
    </row>
    <row r="86" spans="1:256" x14ac:dyDescent="0.2">
      <c r="A86" t="e">
        <f>AND(INPUT!C79,"AAAAAH/v3QA=")</f>
        <v>#VALUE!</v>
      </c>
      <c r="B86" t="e">
        <f>AND(INPUT!D79,"AAAAAH/v3QE=")</f>
        <v>#VALUE!</v>
      </c>
      <c r="C86" t="e">
        <f>AND(INPUT!E79,"AAAAAH/v3QI=")</f>
        <v>#VALUE!</v>
      </c>
      <c r="D86" t="e">
        <f>AND(INPUT!G79,"AAAAAH/v3QM=")</f>
        <v>#VALUE!</v>
      </c>
      <c r="E86" t="e">
        <f>AND(INPUT!#REF!,"AAAAAH/v3QQ=")</f>
        <v>#REF!</v>
      </c>
      <c r="F86" t="e">
        <f>AND(INPUT!H79,"AAAAAH/v3QU=")</f>
        <v>#VALUE!</v>
      </c>
      <c r="G86" t="e">
        <f>AND(INPUT!#REF!,"AAAAAH/v3QY=")</f>
        <v>#REF!</v>
      </c>
      <c r="H86" t="e">
        <f>AND(INPUT!I75,"AAAAAH/v3Qc=")</f>
        <v>#VALUE!</v>
      </c>
      <c r="I86" t="e">
        <f>AND(INPUT!#REF!,"AAAAAH/v3Qg=")</f>
        <v>#REF!</v>
      </c>
      <c r="J86" t="e">
        <f>AND(INPUT!J75,"AAAAAH/v3Qk=")</f>
        <v>#VALUE!</v>
      </c>
      <c r="K86" t="e">
        <f>AND(INPUT!K75,"AAAAAH/v3Qo=")</f>
        <v>#VALUE!</v>
      </c>
      <c r="L86" t="e">
        <f>AND(INPUT!#REF!,"AAAAAH/v3Qs=")</f>
        <v>#REF!</v>
      </c>
      <c r="M86" t="e">
        <f>AND(INPUT!#REF!,"AAAAAH/v3Qw=")</f>
        <v>#REF!</v>
      </c>
      <c r="N86" t="e">
        <f>AND(INPUT!C80,"AAAAAH/v3Q0=")</f>
        <v>#VALUE!</v>
      </c>
      <c r="O86" t="e">
        <f>AND(INPUT!D80,"AAAAAH/v3Q4=")</f>
        <v>#VALUE!</v>
      </c>
      <c r="P86" t="e">
        <f>AND(INPUT!E80,"AAAAAH/v3Q8=")</f>
        <v>#VALUE!</v>
      </c>
      <c r="Q86" t="e">
        <f>AND(INPUT!G80,"AAAAAH/v3RA=")</f>
        <v>#VALUE!</v>
      </c>
      <c r="R86" t="e">
        <f>AND(INPUT!#REF!,"AAAAAH/v3RE=")</f>
        <v>#REF!</v>
      </c>
      <c r="S86" t="e">
        <f>AND(INPUT!H80,"AAAAAH/v3RI=")</f>
        <v>#VALUE!</v>
      </c>
      <c r="T86" t="e">
        <f>AND(INPUT!#REF!,"AAAAAH/v3RM=")</f>
        <v>#REF!</v>
      </c>
      <c r="U86" t="e">
        <f>AND(INPUT!I76,"AAAAAH/v3RQ=")</f>
        <v>#VALUE!</v>
      </c>
      <c r="V86" t="e">
        <f>AND(INPUT!#REF!,"AAAAAH/v3RU=")</f>
        <v>#REF!</v>
      </c>
      <c r="W86" t="e">
        <f>AND(INPUT!J76,"AAAAAH/v3RY=")</f>
        <v>#VALUE!</v>
      </c>
      <c r="X86" t="e">
        <f>AND(INPUT!K76,"AAAAAH/v3Rc=")</f>
        <v>#VALUE!</v>
      </c>
      <c r="Y86" t="e">
        <f>AND(INPUT!#REF!,"AAAAAH/v3Rg=")</f>
        <v>#REF!</v>
      </c>
      <c r="Z86" t="e">
        <f>AND(INPUT!#REF!,"AAAAAH/v3Rk=")</f>
        <v>#REF!</v>
      </c>
      <c r="AA86" t="e">
        <f>AND(INPUT!C81,"AAAAAH/v3Ro=")</f>
        <v>#VALUE!</v>
      </c>
      <c r="AB86" t="e">
        <f>AND(INPUT!D81,"AAAAAH/v3Rs=")</f>
        <v>#VALUE!</v>
      </c>
      <c r="AC86" t="e">
        <f>AND(INPUT!E81,"AAAAAH/v3Rw=")</f>
        <v>#VALUE!</v>
      </c>
      <c r="AD86" t="e">
        <f>AND(INPUT!G81,"AAAAAH/v3R0=")</f>
        <v>#VALUE!</v>
      </c>
      <c r="AE86" t="e">
        <f>AND(INPUT!#REF!,"AAAAAH/v3R4=")</f>
        <v>#REF!</v>
      </c>
      <c r="AF86" t="e">
        <f>AND(INPUT!H81,"AAAAAH/v3R8=")</f>
        <v>#VALUE!</v>
      </c>
      <c r="AG86" t="e">
        <f>AND(INPUT!#REF!,"AAAAAH/v3SA=")</f>
        <v>#REF!</v>
      </c>
      <c r="AH86" t="e">
        <f>AND(INPUT!I77,"AAAAAH/v3SE=")</f>
        <v>#VALUE!</v>
      </c>
      <c r="AI86" t="e">
        <f>AND(INPUT!#REF!,"AAAAAH/v3SI=")</f>
        <v>#REF!</v>
      </c>
      <c r="AJ86" t="e">
        <f>AND(INPUT!J77,"AAAAAH/v3SM=")</f>
        <v>#VALUE!</v>
      </c>
      <c r="AK86" t="e">
        <f>AND(INPUT!K77,"AAAAAH/v3SQ=")</f>
        <v>#VALUE!</v>
      </c>
      <c r="AL86" t="e">
        <f>AND(INPUT!#REF!,"AAAAAH/v3SU=")</f>
        <v>#REF!</v>
      </c>
      <c r="AM86" t="e">
        <f>AND(INPUT!#REF!,"AAAAAH/v3SY=")</f>
        <v>#REF!</v>
      </c>
      <c r="AN86" t="e">
        <f>AND(INPUT!C82,"AAAAAH/v3Sc=")</f>
        <v>#VALUE!</v>
      </c>
      <c r="AO86" t="e">
        <f>AND(INPUT!D82,"AAAAAH/v3Sg=")</f>
        <v>#VALUE!</v>
      </c>
      <c r="AP86" t="e">
        <f>AND(INPUT!E82,"AAAAAH/v3Sk=")</f>
        <v>#VALUE!</v>
      </c>
      <c r="AQ86" t="e">
        <f>AND(INPUT!G82,"AAAAAH/v3So=")</f>
        <v>#VALUE!</v>
      </c>
      <c r="AR86" t="e">
        <f>AND(INPUT!#REF!,"AAAAAH/v3Ss=")</f>
        <v>#REF!</v>
      </c>
      <c r="AS86" t="e">
        <f>AND(INPUT!H82,"AAAAAH/v3Sw=")</f>
        <v>#VALUE!</v>
      </c>
      <c r="AT86" t="e">
        <f>AND(INPUT!#REF!,"AAAAAH/v3S0=")</f>
        <v>#REF!</v>
      </c>
      <c r="AU86" t="e">
        <f>AND(INPUT!I78,"AAAAAH/v3S4=")</f>
        <v>#VALUE!</v>
      </c>
      <c r="AV86" t="e">
        <f>AND(INPUT!#REF!,"AAAAAH/v3S8=")</f>
        <v>#REF!</v>
      </c>
      <c r="AW86" t="e">
        <f>AND(INPUT!J78,"AAAAAH/v3TA=")</f>
        <v>#VALUE!</v>
      </c>
      <c r="AX86" t="e">
        <f>AND(INPUT!K78,"AAAAAH/v3TE=")</f>
        <v>#VALUE!</v>
      </c>
      <c r="AY86" t="e">
        <f>AND(INPUT!#REF!,"AAAAAH/v3TI=")</f>
        <v>#REF!</v>
      </c>
      <c r="AZ86" t="e">
        <f>AND(INPUT!#REF!,"AAAAAH/v3TM=")</f>
        <v>#REF!</v>
      </c>
      <c r="BA86" t="e">
        <f>AND(INPUT!C83,"AAAAAH/v3TQ=")</f>
        <v>#VALUE!</v>
      </c>
      <c r="BB86" t="e">
        <f>AND(INPUT!D83,"AAAAAH/v3TU=")</f>
        <v>#VALUE!</v>
      </c>
      <c r="BC86" t="e">
        <f>AND(INPUT!E83,"AAAAAH/v3TY=")</f>
        <v>#VALUE!</v>
      </c>
      <c r="BD86" t="e">
        <f>AND(INPUT!G83,"AAAAAH/v3Tc=")</f>
        <v>#VALUE!</v>
      </c>
      <c r="BE86" t="e">
        <f>AND(INPUT!#REF!,"AAAAAH/v3Tg=")</f>
        <v>#REF!</v>
      </c>
      <c r="BF86" t="e">
        <f>AND(INPUT!H83,"AAAAAH/v3Tk=")</f>
        <v>#VALUE!</v>
      </c>
      <c r="BG86" t="e">
        <f>AND(INPUT!#REF!,"AAAAAH/v3To=")</f>
        <v>#REF!</v>
      </c>
      <c r="BH86" t="e">
        <f>AND(INPUT!I79,"AAAAAH/v3Ts=")</f>
        <v>#VALUE!</v>
      </c>
      <c r="BI86" t="e">
        <f>AND(INPUT!#REF!,"AAAAAH/v3Tw=")</f>
        <v>#REF!</v>
      </c>
      <c r="BJ86" t="e">
        <f>AND(INPUT!J79,"AAAAAH/v3T0=")</f>
        <v>#VALUE!</v>
      </c>
      <c r="BK86" t="e">
        <f>AND(INPUT!K79,"AAAAAH/v3T4=")</f>
        <v>#VALUE!</v>
      </c>
      <c r="BL86" t="e">
        <f>AND(INPUT!#REF!,"AAAAAH/v3T8=")</f>
        <v>#REF!</v>
      </c>
      <c r="BM86" t="e">
        <f>AND(INPUT!#REF!,"AAAAAH/v3UA=")</f>
        <v>#REF!</v>
      </c>
      <c r="BN86" t="e">
        <f>AND(INPUT!C84,"AAAAAH/v3UE=")</f>
        <v>#VALUE!</v>
      </c>
      <c r="BO86" t="e">
        <f>AND(INPUT!D84,"AAAAAH/v3UI=")</f>
        <v>#VALUE!</v>
      </c>
      <c r="BP86" t="e">
        <f>AND(INPUT!E84,"AAAAAH/v3UM=")</f>
        <v>#VALUE!</v>
      </c>
      <c r="BQ86" t="e">
        <f>AND(INPUT!G84,"AAAAAH/v3UQ=")</f>
        <v>#VALUE!</v>
      </c>
      <c r="BR86" t="e">
        <f>AND(INPUT!#REF!,"AAAAAH/v3UU=")</f>
        <v>#REF!</v>
      </c>
      <c r="BS86" t="e">
        <f>AND(INPUT!H84,"AAAAAH/v3UY=")</f>
        <v>#VALUE!</v>
      </c>
      <c r="BT86" t="e">
        <f>AND(INPUT!#REF!,"AAAAAH/v3Uc=")</f>
        <v>#REF!</v>
      </c>
      <c r="BU86" t="e">
        <f>AND(INPUT!I80,"AAAAAH/v3Ug=")</f>
        <v>#VALUE!</v>
      </c>
      <c r="BV86" t="e">
        <f>AND(INPUT!#REF!,"AAAAAH/v3Uk=")</f>
        <v>#REF!</v>
      </c>
      <c r="BW86" t="e">
        <f>AND(INPUT!J80,"AAAAAH/v3Uo=")</f>
        <v>#VALUE!</v>
      </c>
      <c r="BX86" t="e">
        <f>AND(INPUT!K80,"AAAAAH/v3Us=")</f>
        <v>#VALUE!</v>
      </c>
      <c r="BY86" t="e">
        <f>AND(INPUT!#REF!,"AAAAAH/v3Uw=")</f>
        <v>#REF!</v>
      </c>
      <c r="BZ86" t="e">
        <f>AND(INPUT!#REF!,"AAAAAH/v3U0=")</f>
        <v>#REF!</v>
      </c>
      <c r="CA86" t="e">
        <f>AND(INPUT!C85,"AAAAAH/v3U4=")</f>
        <v>#VALUE!</v>
      </c>
      <c r="CB86" t="e">
        <f>AND(INPUT!D85,"AAAAAH/v3U8=")</f>
        <v>#VALUE!</v>
      </c>
      <c r="CC86" t="e">
        <f>AND(INPUT!E85,"AAAAAH/v3VA=")</f>
        <v>#VALUE!</v>
      </c>
      <c r="CD86" t="e">
        <f>AND(INPUT!G85,"AAAAAH/v3VE=")</f>
        <v>#VALUE!</v>
      </c>
      <c r="CE86" t="e">
        <f>AND(INPUT!#REF!,"AAAAAH/v3VI=")</f>
        <v>#REF!</v>
      </c>
      <c r="CF86" t="e">
        <f>AND(INPUT!H85,"AAAAAH/v3VM=")</f>
        <v>#VALUE!</v>
      </c>
      <c r="CG86" t="e">
        <f>AND(INPUT!#REF!,"AAAAAH/v3VQ=")</f>
        <v>#REF!</v>
      </c>
      <c r="CH86" t="e">
        <f>AND(INPUT!I81,"AAAAAH/v3VU=")</f>
        <v>#VALUE!</v>
      </c>
      <c r="CI86" t="e">
        <f>AND(INPUT!#REF!,"AAAAAH/v3VY=")</f>
        <v>#REF!</v>
      </c>
      <c r="CJ86" t="e">
        <f>AND(INPUT!J81,"AAAAAH/v3Vc=")</f>
        <v>#VALUE!</v>
      </c>
      <c r="CK86" t="e">
        <f>AND(INPUT!K81,"AAAAAH/v3Vg=")</f>
        <v>#VALUE!</v>
      </c>
      <c r="CL86" t="e">
        <f>AND(INPUT!#REF!,"AAAAAH/v3Vk=")</f>
        <v>#REF!</v>
      </c>
      <c r="CM86" t="e">
        <f>AND(INPUT!#REF!,"AAAAAH/v3Vo=")</f>
        <v>#REF!</v>
      </c>
      <c r="CN86" t="e">
        <f>AND(INPUT!C86,"AAAAAH/v3Vs=")</f>
        <v>#VALUE!</v>
      </c>
      <c r="CO86" t="e">
        <f>AND(INPUT!D86,"AAAAAH/v3Vw=")</f>
        <v>#VALUE!</v>
      </c>
      <c r="CP86" t="e">
        <f>AND(INPUT!E86,"AAAAAH/v3V0=")</f>
        <v>#VALUE!</v>
      </c>
      <c r="CQ86" t="e">
        <f>AND(INPUT!G86,"AAAAAH/v3V4=")</f>
        <v>#VALUE!</v>
      </c>
      <c r="CR86" t="e">
        <f>AND(INPUT!#REF!,"AAAAAH/v3V8=")</f>
        <v>#REF!</v>
      </c>
      <c r="CS86" t="e">
        <f>AND(INPUT!H86,"AAAAAH/v3WA=")</f>
        <v>#VALUE!</v>
      </c>
      <c r="CT86" t="e">
        <f>AND(INPUT!#REF!,"AAAAAH/v3WE=")</f>
        <v>#REF!</v>
      </c>
      <c r="CU86" t="e">
        <f>AND(INPUT!I82,"AAAAAH/v3WI=")</f>
        <v>#VALUE!</v>
      </c>
      <c r="CV86" t="e">
        <f>AND(INPUT!#REF!,"AAAAAH/v3WM=")</f>
        <v>#REF!</v>
      </c>
      <c r="CW86" t="e">
        <f>AND(INPUT!J82,"AAAAAH/v3WQ=")</f>
        <v>#VALUE!</v>
      </c>
      <c r="CX86" t="e">
        <f>AND(INPUT!K82,"AAAAAH/v3WU=")</f>
        <v>#VALUE!</v>
      </c>
      <c r="CY86" t="e">
        <f>AND(INPUT!#REF!,"AAAAAH/v3WY=")</f>
        <v>#REF!</v>
      </c>
      <c r="CZ86" t="e">
        <f>AND(INPUT!#REF!,"AAAAAH/v3Wc=")</f>
        <v>#REF!</v>
      </c>
      <c r="DA86" t="e">
        <f>AND(INPUT!C87,"AAAAAH/v3Wg=")</f>
        <v>#VALUE!</v>
      </c>
      <c r="DB86" t="e">
        <f>AND(INPUT!D87,"AAAAAH/v3Wk=")</f>
        <v>#VALUE!</v>
      </c>
      <c r="DC86" t="e">
        <f>AND(INPUT!E87,"AAAAAH/v3Wo=")</f>
        <v>#VALUE!</v>
      </c>
      <c r="DD86" t="e">
        <f>AND(INPUT!G87,"AAAAAH/v3Ws=")</f>
        <v>#VALUE!</v>
      </c>
      <c r="DE86" t="e">
        <f>AND(INPUT!#REF!,"AAAAAH/v3Ww=")</f>
        <v>#REF!</v>
      </c>
      <c r="DF86" t="e">
        <f>AND(INPUT!H87,"AAAAAH/v3W0=")</f>
        <v>#VALUE!</v>
      </c>
      <c r="DG86" t="e">
        <f>AND(INPUT!#REF!,"AAAAAH/v3W4=")</f>
        <v>#REF!</v>
      </c>
      <c r="DH86" t="e">
        <f>AND(INPUT!I83,"AAAAAH/v3W8=")</f>
        <v>#VALUE!</v>
      </c>
      <c r="DI86" t="e">
        <f>AND(INPUT!#REF!,"AAAAAH/v3XA=")</f>
        <v>#REF!</v>
      </c>
      <c r="DJ86" t="e">
        <f>AND(INPUT!J83,"AAAAAH/v3XE=")</f>
        <v>#VALUE!</v>
      </c>
      <c r="DK86" t="e">
        <f>AND(INPUT!K83,"AAAAAH/v3XI=")</f>
        <v>#VALUE!</v>
      </c>
      <c r="DL86" t="e">
        <f>AND(INPUT!#REF!,"AAAAAH/v3XM=")</f>
        <v>#REF!</v>
      </c>
      <c r="DM86" t="e">
        <f>AND(INPUT!#REF!,"AAAAAH/v3XQ=")</f>
        <v>#REF!</v>
      </c>
      <c r="DN86" t="s">
        <v>21</v>
      </c>
    </row>
    <row r="87" spans="1:256" x14ac:dyDescent="0.2">
      <c r="A87" t="e">
        <f>AND(OUTPUT!C290,"AAAAAG3P+wA=")</f>
        <v>#VALUE!</v>
      </c>
      <c r="B87" t="e">
        <f>AND(OUTPUT!D289,"AAAAAG3P+wE=")</f>
        <v>#VALUE!</v>
      </c>
      <c r="C87" t="e">
        <f>AND(OUTPUT!E284,"AAAAAG3P+wI=")</f>
        <v>#VALUE!</v>
      </c>
      <c r="D87" t="e">
        <f>AND(OUTPUT!F284,"AAAAAG3P+wM=")</f>
        <v>#VALUE!</v>
      </c>
      <c r="E87" t="e">
        <f>AND(OUTPUT!G284,"AAAAAG3P+wQ=")</f>
        <v>#VALUE!</v>
      </c>
      <c r="F87">
        <f>IF(OUTPUT!284:284,"AAAAAG3P+wU=",0)</f>
        <v>0</v>
      </c>
      <c r="G87" t="e">
        <f>AND(OUTPUT!C291,"AAAAAG3P+wY=")</f>
        <v>#VALUE!</v>
      </c>
      <c r="H87" t="e">
        <f>AND(OUTPUT!D290,"AAAAAG3P+wc=")</f>
        <v>#VALUE!</v>
      </c>
      <c r="I87" t="e">
        <f>AND(OUTPUT!E285,"AAAAAG3P+wg=")</f>
        <v>#VALUE!</v>
      </c>
      <c r="J87" t="e">
        <f>AND(OUTPUT!F285,"AAAAAG3P+wk=")</f>
        <v>#VALUE!</v>
      </c>
      <c r="K87" t="e">
        <f>AND(OUTPUT!G285,"AAAAAG3P+wo=")</f>
        <v>#VALUE!</v>
      </c>
      <c r="L87">
        <f>IF(OUTPUT!285:285,"AAAAAG3P+ws=",0)</f>
        <v>0</v>
      </c>
      <c r="M87" t="e">
        <f>AND(OUTPUT!C292,"AAAAAG3P+ww=")</f>
        <v>#VALUE!</v>
      </c>
      <c r="N87" t="e">
        <f>AND(OUTPUT!D291,"AAAAAG3P+w0=")</f>
        <v>#VALUE!</v>
      </c>
      <c r="O87" t="e">
        <f>AND(OUTPUT!E286,"AAAAAG3P+w4=")</f>
        <v>#VALUE!</v>
      </c>
      <c r="P87" t="e">
        <f>AND(OUTPUT!F286,"AAAAAG3P+w8=")</f>
        <v>#VALUE!</v>
      </c>
      <c r="Q87" t="e">
        <f>AND(OUTPUT!G286,"AAAAAG3P+xA=")</f>
        <v>#VALUE!</v>
      </c>
      <c r="R87">
        <f>IF(OUTPUT!286:286,"AAAAAG3P+xE=",0)</f>
        <v>0</v>
      </c>
      <c r="S87" t="e">
        <f>AND(OUTPUT!C293,"AAAAAG3P+xI=")</f>
        <v>#VALUE!</v>
      </c>
      <c r="T87" t="e">
        <f>AND(OUTPUT!D292,"AAAAAG3P+xM=")</f>
        <v>#VALUE!</v>
      </c>
      <c r="U87" t="e">
        <f>AND(OUTPUT!E287,"AAAAAG3P+xQ=")</f>
        <v>#VALUE!</v>
      </c>
      <c r="V87" t="e">
        <f>AND(OUTPUT!F287,"AAAAAG3P+xU=")</f>
        <v>#VALUE!</v>
      </c>
      <c r="W87" t="e">
        <f>AND(OUTPUT!G287,"AAAAAG3P+xY=")</f>
        <v>#VALUE!</v>
      </c>
      <c r="X87">
        <f>IF(OUTPUT!287:287,"AAAAAG3P+xc=",0)</f>
        <v>0</v>
      </c>
      <c r="Y87" t="e">
        <f>AND(OUTPUT!#REF!,"AAAAAG3P+xg=")</f>
        <v>#REF!</v>
      </c>
      <c r="Z87" t="e">
        <f>AND(OUTPUT!D293,"AAAAAG3P+xk=")</f>
        <v>#VALUE!</v>
      </c>
      <c r="AA87" t="e">
        <f>AND(OUTPUT!E288,"AAAAAG3P+xo=")</f>
        <v>#VALUE!</v>
      </c>
      <c r="AB87" t="e">
        <f>AND(OUTPUT!F288,"AAAAAG3P+xs=")</f>
        <v>#VALUE!</v>
      </c>
      <c r="AC87" t="e">
        <f>AND(OUTPUT!G288,"AAAAAG3P+xw=")</f>
        <v>#VALUE!</v>
      </c>
      <c r="AD87">
        <f>IF(OUTPUT!288:288,"AAAAAG3P+x0=",0)</f>
        <v>0</v>
      </c>
      <c r="AE87" t="e">
        <f>AND(OUTPUT!#REF!,"AAAAAG3P+x4=")</f>
        <v>#REF!</v>
      </c>
      <c r="AF87" t="e">
        <f>AND(OUTPUT!#REF!,"AAAAAG3P+x8=")</f>
        <v>#REF!</v>
      </c>
      <c r="AG87" t="e">
        <f>AND(OUTPUT!E289,"AAAAAG3P+yA=")</f>
        <v>#VALUE!</v>
      </c>
      <c r="AH87" t="e">
        <f>AND(OUTPUT!F289,"AAAAAG3P+yE=")</f>
        <v>#VALUE!</v>
      </c>
      <c r="AI87" t="e">
        <f>AND(OUTPUT!G289,"AAAAAG3P+yI=")</f>
        <v>#VALUE!</v>
      </c>
      <c r="AJ87">
        <f>IF(OUTPUT!289:289,"AAAAAG3P+yM=",0)</f>
        <v>0</v>
      </c>
      <c r="AK87" t="e">
        <f>AND(OUTPUT!#REF!,"AAAAAG3P+yQ=")</f>
        <v>#REF!</v>
      </c>
      <c r="AL87" t="e">
        <f>AND(OUTPUT!#REF!,"AAAAAG3P+yU=")</f>
        <v>#REF!</v>
      </c>
      <c r="AM87" t="e">
        <f>AND(OUTPUT!E290,"AAAAAG3P+yY=")</f>
        <v>#VALUE!</v>
      </c>
      <c r="AN87" t="e">
        <f>AND(OUTPUT!F290,"AAAAAG3P+yc=")</f>
        <v>#VALUE!</v>
      </c>
      <c r="AO87" t="e">
        <f>AND(OUTPUT!G290,"AAAAAG3P+yg=")</f>
        <v>#VALUE!</v>
      </c>
      <c r="AP87">
        <f>IF(OUTPUT!290:290,"AAAAAG3P+yk=",0)</f>
        <v>0</v>
      </c>
      <c r="AQ87" t="e">
        <f>AND(OUTPUT!#REF!,"AAAAAG3P+yo=")</f>
        <v>#REF!</v>
      </c>
      <c r="AR87" t="e">
        <f>AND(OUTPUT!#REF!,"AAAAAG3P+ys=")</f>
        <v>#REF!</v>
      </c>
      <c r="AS87" t="e">
        <f>AND(OUTPUT!E291,"AAAAAG3P+yw=")</f>
        <v>#VALUE!</v>
      </c>
      <c r="AT87" t="e">
        <f>AND(OUTPUT!F291,"AAAAAG3P+y0=")</f>
        <v>#VALUE!</v>
      </c>
      <c r="AU87" t="e">
        <f>AND(OUTPUT!G291,"AAAAAG3P+y4=")</f>
        <v>#VALUE!</v>
      </c>
      <c r="AV87">
        <f>IF(OUTPUT!291:291,"AAAAAG3P+y8=",0)</f>
        <v>0</v>
      </c>
      <c r="AW87" t="e">
        <f>AND(OUTPUT!#REF!,"AAAAAG3P+zA=")</f>
        <v>#REF!</v>
      </c>
      <c r="AX87" t="e">
        <f>AND(OUTPUT!#REF!,"AAAAAG3P+zE=")</f>
        <v>#REF!</v>
      </c>
      <c r="AY87" t="e">
        <f>AND(OUTPUT!E292,"AAAAAG3P+zI=")</f>
        <v>#VALUE!</v>
      </c>
      <c r="AZ87" t="e">
        <f>AND(OUTPUT!F292,"AAAAAG3P+zM=")</f>
        <v>#VALUE!</v>
      </c>
      <c r="BA87" t="e">
        <f>AND(OUTPUT!G292,"AAAAAG3P+zQ=")</f>
        <v>#VALUE!</v>
      </c>
      <c r="BB87">
        <f>IF(OUTPUT!292:292,"AAAAAG3P+zU=",0)</f>
        <v>0</v>
      </c>
      <c r="BC87" t="e">
        <f>AND(OUTPUT!#REF!,"AAAAAG3P+zY=")</f>
        <v>#REF!</v>
      </c>
      <c r="BD87" t="e">
        <f>AND(OUTPUT!#REF!,"AAAAAG3P+zc=")</f>
        <v>#REF!</v>
      </c>
      <c r="BE87" t="e">
        <f>AND(OUTPUT!E293,"AAAAAG3P+zg=")</f>
        <v>#VALUE!</v>
      </c>
      <c r="BF87" t="e">
        <f>AND(OUTPUT!F293,"AAAAAG3P+zk=")</f>
        <v>#VALUE!</v>
      </c>
      <c r="BG87" t="e">
        <f>AND(OUTPUT!G293,"AAAAAG3P+zo=")</f>
        <v>#VALUE!</v>
      </c>
      <c r="BH87">
        <f>IF(OUTPUT!293:293,"AAAAAG3P+zs=",0)</f>
        <v>0</v>
      </c>
      <c r="BI87" t="e">
        <f>AND(OUTPUT!C294,"AAAAAG3P+zw=")</f>
        <v>#VALUE!</v>
      </c>
      <c r="BJ87" t="e">
        <f>AND(OUTPUT!#REF!,"AAAAAG3P+z0=")</f>
        <v>#REF!</v>
      </c>
      <c r="BK87" t="e">
        <f>AND(OUTPUT!E294,"AAAAAG3P+z4=")</f>
        <v>#VALUE!</v>
      </c>
      <c r="BL87" t="e">
        <f>AND(OUTPUT!F294,"AAAAAG3P+z8=")</f>
        <v>#VALUE!</v>
      </c>
      <c r="BM87" t="e">
        <f>AND(OUTPUT!G294,"AAAAAG3P+0A=")</f>
        <v>#VALUE!</v>
      </c>
      <c r="BN87">
        <f>IF(OUTPUT!294:294,"AAAAAG3P+0E=",0)</f>
        <v>0</v>
      </c>
      <c r="BO87" t="e">
        <f>AND(OUTPUT!C295,"AAAAAG3P+0I=")</f>
        <v>#VALUE!</v>
      </c>
      <c r="BP87" t="e">
        <f>AND(OUTPUT!D294,"AAAAAG3P+0M=")</f>
        <v>#VALUE!</v>
      </c>
      <c r="BQ87" t="e">
        <f>AND(OUTPUT!E295,"AAAAAG3P+0Q=")</f>
        <v>#VALUE!</v>
      </c>
      <c r="BR87" t="e">
        <f>AND(OUTPUT!F295,"AAAAAG3P+0U=")</f>
        <v>#VALUE!</v>
      </c>
      <c r="BS87" t="e">
        <f>AND(OUTPUT!G295,"AAAAAG3P+0Y=")</f>
        <v>#VALUE!</v>
      </c>
      <c r="BT87" t="s">
        <v>22</v>
      </c>
    </row>
    <row r="88" spans="1:256" x14ac:dyDescent="0.2">
      <c r="A88" t="e">
        <f>AND(OUTPUT!I283,"AAAAAH97+AA=")</f>
        <v>#VALUE!</v>
      </c>
      <c r="B88" t="e">
        <f>AND(OUTPUT!#REF!,"AAAAAH97+AE=")</f>
        <v>#REF!</v>
      </c>
      <c r="C88" t="e">
        <f>AND(OUTPUT!#REF!,"AAAAAH97+AI=")</f>
        <v>#REF!</v>
      </c>
      <c r="D88" t="e">
        <f>AND(OUTPUT!#REF!,"AAAAAH97+AM=")</f>
        <v>#REF!</v>
      </c>
      <c r="E88" t="e">
        <f>AND(OUTPUT!#REF!,"AAAAAH97+AQ=")</f>
        <v>#REF!</v>
      </c>
      <c r="F88" t="e">
        <f>AND(OUTPUT!#REF!,"AAAAAH97+AU=")</f>
        <v>#REF!</v>
      </c>
      <c r="G88" t="e">
        <f>AND(OUTPUT!#REF!,"AAAAAH97+AY=")</f>
        <v>#REF!</v>
      </c>
      <c r="H88" t="e">
        <f>AND(OUTPUT!#REF!,"AAAAAH97+Ac=")</f>
        <v>#REF!</v>
      </c>
      <c r="I88" t="e">
        <f>AND(OUTPUT!J283,"AAAAAH97+Ag=")</f>
        <v>#VALUE!</v>
      </c>
      <c r="J88" t="e">
        <f>AND(OUTPUT!K283,"AAAAAH97+Ak=")</f>
        <v>#VALUE!</v>
      </c>
      <c r="K88" t="e">
        <f>AND(OUTPUT!#REF!,"AAAAAH97+Ao=")</f>
        <v>#REF!</v>
      </c>
      <c r="L88" t="e">
        <f>AND(OUTPUT!#REF!,"AAAAAH97+As=")</f>
        <v>#REF!</v>
      </c>
      <c r="M88" t="e">
        <f>AND(OUTPUT!I284,"AAAAAH97+Aw=")</f>
        <v>#VALUE!</v>
      </c>
      <c r="N88" t="e">
        <f>AND(OUTPUT!#REF!,"AAAAAH97+A0=")</f>
        <v>#REF!</v>
      </c>
      <c r="O88" t="e">
        <f>AND(OUTPUT!#REF!,"AAAAAH97+A4=")</f>
        <v>#REF!</v>
      </c>
      <c r="P88" t="e">
        <f>AND(OUTPUT!#REF!,"AAAAAH97+A8=")</f>
        <v>#REF!</v>
      </c>
      <c r="Q88" t="e">
        <f>AND(OUTPUT!#REF!,"AAAAAH97+BA=")</f>
        <v>#REF!</v>
      </c>
      <c r="R88" t="e">
        <f>AND(OUTPUT!#REF!,"AAAAAH97+BE=")</f>
        <v>#REF!</v>
      </c>
      <c r="S88" t="e">
        <f>AND(OUTPUT!#REF!,"AAAAAH97+BI=")</f>
        <v>#REF!</v>
      </c>
      <c r="T88" t="e">
        <f>AND(OUTPUT!#REF!,"AAAAAH97+BM=")</f>
        <v>#REF!</v>
      </c>
      <c r="U88" t="e">
        <f>AND(OUTPUT!J284,"AAAAAH97+BQ=")</f>
        <v>#VALUE!</v>
      </c>
      <c r="V88" t="e">
        <f>AND(OUTPUT!K284,"AAAAAH97+BU=")</f>
        <v>#VALUE!</v>
      </c>
      <c r="W88" t="e">
        <f>AND(OUTPUT!#REF!,"AAAAAH97+BY=")</f>
        <v>#REF!</v>
      </c>
      <c r="X88" t="e">
        <f>AND(OUTPUT!#REF!,"AAAAAH97+Bc=")</f>
        <v>#REF!</v>
      </c>
      <c r="Y88" t="e">
        <f>AND(OUTPUT!I285,"AAAAAH97+Bg=")</f>
        <v>#VALUE!</v>
      </c>
      <c r="Z88" t="e">
        <f>AND(OUTPUT!#REF!,"AAAAAH97+Bk=")</f>
        <v>#REF!</v>
      </c>
      <c r="AA88" t="e">
        <f>AND(OUTPUT!#REF!,"AAAAAH97+Bo=")</f>
        <v>#REF!</v>
      </c>
      <c r="AB88" t="e">
        <f>AND(OUTPUT!#REF!,"AAAAAH97+Bs=")</f>
        <v>#REF!</v>
      </c>
      <c r="AC88" t="e">
        <f>AND(OUTPUT!#REF!,"AAAAAH97+Bw=")</f>
        <v>#REF!</v>
      </c>
      <c r="AD88" t="e">
        <f>AND(OUTPUT!#REF!,"AAAAAH97+B0=")</f>
        <v>#REF!</v>
      </c>
      <c r="AE88" t="e">
        <f>AND(OUTPUT!#REF!,"AAAAAH97+B4=")</f>
        <v>#REF!</v>
      </c>
      <c r="AF88" t="e">
        <f>AND(OUTPUT!#REF!,"AAAAAH97+B8=")</f>
        <v>#REF!</v>
      </c>
      <c r="AG88" t="e">
        <f>AND(OUTPUT!J285,"AAAAAH97+CA=")</f>
        <v>#VALUE!</v>
      </c>
      <c r="AH88" t="e">
        <f>AND(OUTPUT!K285,"AAAAAH97+CE=")</f>
        <v>#VALUE!</v>
      </c>
      <c r="AI88" t="e">
        <f>AND(OUTPUT!#REF!,"AAAAAH97+CI=")</f>
        <v>#REF!</v>
      </c>
      <c r="AJ88" t="e">
        <f>AND(OUTPUT!#REF!,"AAAAAH97+CM=")</f>
        <v>#REF!</v>
      </c>
      <c r="AK88" t="e">
        <f>AND(OUTPUT!I286,"AAAAAH97+CQ=")</f>
        <v>#VALUE!</v>
      </c>
      <c r="AL88" t="e">
        <f>AND(OUTPUT!#REF!,"AAAAAH97+CU=")</f>
        <v>#REF!</v>
      </c>
      <c r="AM88" t="e">
        <f>AND(OUTPUT!#REF!,"AAAAAH97+CY=")</f>
        <v>#REF!</v>
      </c>
      <c r="AN88" t="e">
        <f>AND(OUTPUT!#REF!,"AAAAAH97+Cc=")</f>
        <v>#REF!</v>
      </c>
      <c r="AO88" t="e">
        <f>AND(OUTPUT!#REF!,"AAAAAH97+Cg=")</f>
        <v>#REF!</v>
      </c>
      <c r="AP88" t="e">
        <f>AND(OUTPUT!#REF!,"AAAAAH97+Ck=")</f>
        <v>#REF!</v>
      </c>
      <c r="AQ88" t="e">
        <f>AND(OUTPUT!#REF!,"AAAAAH97+Co=")</f>
        <v>#REF!</v>
      </c>
      <c r="AR88" t="e">
        <f>AND(OUTPUT!#REF!,"AAAAAH97+Cs=")</f>
        <v>#REF!</v>
      </c>
      <c r="AS88" t="e">
        <f>AND(OUTPUT!J286,"AAAAAH97+Cw=")</f>
        <v>#VALUE!</v>
      </c>
      <c r="AT88" t="e">
        <f>AND(OUTPUT!K286,"AAAAAH97+C0=")</f>
        <v>#VALUE!</v>
      </c>
      <c r="AU88" t="e">
        <f>AND(OUTPUT!#REF!,"AAAAAH97+C4=")</f>
        <v>#REF!</v>
      </c>
      <c r="AV88" t="e">
        <f>AND(OUTPUT!#REF!,"AAAAAH97+C8=")</f>
        <v>#REF!</v>
      </c>
      <c r="AW88" t="e">
        <f>AND(OUTPUT!I287,"AAAAAH97+DA=")</f>
        <v>#VALUE!</v>
      </c>
      <c r="AX88" t="e">
        <f>AND(OUTPUT!#REF!,"AAAAAH97+DE=")</f>
        <v>#REF!</v>
      </c>
      <c r="AY88" t="e">
        <f>AND(OUTPUT!#REF!,"AAAAAH97+DI=")</f>
        <v>#REF!</v>
      </c>
      <c r="AZ88" t="e">
        <f>AND(OUTPUT!#REF!,"AAAAAH97+DM=")</f>
        <v>#REF!</v>
      </c>
      <c r="BA88" t="e">
        <f>AND(OUTPUT!#REF!,"AAAAAH97+DQ=")</f>
        <v>#REF!</v>
      </c>
      <c r="BB88" t="e">
        <f>AND(OUTPUT!#REF!,"AAAAAH97+DU=")</f>
        <v>#REF!</v>
      </c>
      <c r="BC88" t="e">
        <f>AND(OUTPUT!#REF!,"AAAAAH97+DY=")</f>
        <v>#REF!</v>
      </c>
      <c r="BD88" t="e">
        <f>AND(OUTPUT!#REF!,"AAAAAH97+Dc=")</f>
        <v>#REF!</v>
      </c>
      <c r="BE88" t="e">
        <f>AND(OUTPUT!J287,"AAAAAH97+Dg=")</f>
        <v>#VALUE!</v>
      </c>
      <c r="BF88" t="e">
        <f>AND(OUTPUT!K287,"AAAAAH97+Dk=")</f>
        <v>#VALUE!</v>
      </c>
      <c r="BG88" t="e">
        <f>AND(OUTPUT!#REF!,"AAAAAH97+Do=")</f>
        <v>#REF!</v>
      </c>
      <c r="BH88" t="e">
        <f>AND(OUTPUT!#REF!,"AAAAAH97+Ds=")</f>
        <v>#REF!</v>
      </c>
      <c r="BI88" t="e">
        <f>AND(OUTPUT!I288,"AAAAAH97+Dw=")</f>
        <v>#VALUE!</v>
      </c>
      <c r="BJ88" t="e">
        <f>AND(OUTPUT!#REF!,"AAAAAH97+D0=")</f>
        <v>#REF!</v>
      </c>
      <c r="BK88" t="e">
        <f>AND(OUTPUT!#REF!,"AAAAAH97+D4=")</f>
        <v>#REF!</v>
      </c>
      <c r="BL88" t="e">
        <f>AND(OUTPUT!#REF!,"AAAAAH97+D8=")</f>
        <v>#REF!</v>
      </c>
      <c r="BM88" t="e">
        <f>AND(OUTPUT!#REF!,"AAAAAH97+EA=")</f>
        <v>#REF!</v>
      </c>
      <c r="BN88" t="e">
        <f>AND(OUTPUT!#REF!,"AAAAAH97+EE=")</f>
        <v>#REF!</v>
      </c>
      <c r="BO88" t="e">
        <f>AND(OUTPUT!#REF!,"AAAAAH97+EI=")</f>
        <v>#REF!</v>
      </c>
      <c r="BP88" t="e">
        <f>AND(OUTPUT!#REF!,"AAAAAH97+EM=")</f>
        <v>#REF!</v>
      </c>
      <c r="BQ88" t="e">
        <f>AND(OUTPUT!J288,"AAAAAH97+EQ=")</f>
        <v>#VALUE!</v>
      </c>
      <c r="BR88" t="e">
        <f>AND(OUTPUT!K288,"AAAAAH97+EU=")</f>
        <v>#VALUE!</v>
      </c>
      <c r="BS88" t="e">
        <f>AND(OUTPUT!#REF!,"AAAAAH97+EY=")</f>
        <v>#REF!</v>
      </c>
      <c r="BT88" t="e">
        <f>AND(OUTPUT!#REF!,"AAAAAH97+Ec=")</f>
        <v>#REF!</v>
      </c>
      <c r="BU88" t="e">
        <f>AND(OUTPUT!I289,"AAAAAH97+Eg=")</f>
        <v>#VALUE!</v>
      </c>
      <c r="BV88" t="e">
        <f>AND(OUTPUT!#REF!,"AAAAAH97+Ek=")</f>
        <v>#REF!</v>
      </c>
      <c r="BW88" t="e">
        <f>AND(OUTPUT!#REF!,"AAAAAH97+Eo=")</f>
        <v>#REF!</v>
      </c>
      <c r="BX88" t="e">
        <f>AND(OUTPUT!#REF!,"AAAAAH97+Es=")</f>
        <v>#REF!</v>
      </c>
      <c r="BY88" t="e">
        <f>AND(OUTPUT!#REF!,"AAAAAH97+Ew=")</f>
        <v>#REF!</v>
      </c>
      <c r="BZ88" t="e">
        <f>AND(OUTPUT!#REF!,"AAAAAH97+E0=")</f>
        <v>#REF!</v>
      </c>
      <c r="CA88" t="e">
        <f>AND(OUTPUT!#REF!,"AAAAAH97+E4=")</f>
        <v>#REF!</v>
      </c>
      <c r="CB88" t="e">
        <f>AND(OUTPUT!#REF!,"AAAAAH97+E8=")</f>
        <v>#REF!</v>
      </c>
      <c r="CC88" t="e">
        <f>AND(OUTPUT!J289,"AAAAAH97+FA=")</f>
        <v>#VALUE!</v>
      </c>
      <c r="CD88" t="e">
        <f>AND(OUTPUT!K289,"AAAAAH97+FE=")</f>
        <v>#VALUE!</v>
      </c>
      <c r="CE88" t="e">
        <f>AND(OUTPUT!#REF!,"AAAAAH97+FI=")</f>
        <v>#REF!</v>
      </c>
      <c r="CF88" t="e">
        <f>AND(OUTPUT!#REF!,"AAAAAH97+FM=")</f>
        <v>#REF!</v>
      </c>
      <c r="CG88" t="e">
        <f>AND(OUTPUT!I290,"AAAAAH97+FQ=")</f>
        <v>#VALUE!</v>
      </c>
      <c r="CH88" t="e">
        <f>AND(OUTPUT!#REF!,"AAAAAH97+FU=")</f>
        <v>#REF!</v>
      </c>
      <c r="CI88" t="e">
        <f>AND(OUTPUT!#REF!,"AAAAAH97+FY=")</f>
        <v>#REF!</v>
      </c>
      <c r="CJ88" t="e">
        <f>AND(OUTPUT!#REF!,"AAAAAH97+Fc=")</f>
        <v>#REF!</v>
      </c>
      <c r="CK88" t="e">
        <f>AND(OUTPUT!#REF!,"AAAAAH97+Fg=")</f>
        <v>#REF!</v>
      </c>
      <c r="CL88" t="e">
        <f>AND(OUTPUT!#REF!,"AAAAAH97+Fk=")</f>
        <v>#REF!</v>
      </c>
      <c r="CM88" t="e">
        <f>AND(OUTPUT!#REF!,"AAAAAH97+Fo=")</f>
        <v>#REF!</v>
      </c>
      <c r="CN88" t="e">
        <f>AND(OUTPUT!#REF!,"AAAAAH97+Fs=")</f>
        <v>#REF!</v>
      </c>
      <c r="CO88" t="e">
        <f>AND(OUTPUT!J290,"AAAAAH97+Fw=")</f>
        <v>#VALUE!</v>
      </c>
      <c r="CP88" t="e">
        <f>AND(OUTPUT!K290,"AAAAAH97+F0=")</f>
        <v>#VALUE!</v>
      </c>
      <c r="CQ88" t="e">
        <f>AND(OUTPUT!#REF!,"AAAAAH97+F4=")</f>
        <v>#REF!</v>
      </c>
      <c r="CR88" t="e">
        <f>AND(OUTPUT!#REF!,"AAAAAH97+F8=")</f>
        <v>#REF!</v>
      </c>
      <c r="CS88" t="e">
        <f>AND(OUTPUT!I291,"AAAAAH97+GA=")</f>
        <v>#VALUE!</v>
      </c>
      <c r="CT88" t="e">
        <f>AND(OUTPUT!#REF!,"AAAAAH97+GE=")</f>
        <v>#REF!</v>
      </c>
      <c r="CU88" t="e">
        <f>AND(OUTPUT!#REF!,"AAAAAH97+GI=")</f>
        <v>#REF!</v>
      </c>
      <c r="CV88" t="e">
        <f>AND(OUTPUT!#REF!,"AAAAAH97+GM=")</f>
        <v>#REF!</v>
      </c>
      <c r="CW88" t="e">
        <f>AND(OUTPUT!#REF!,"AAAAAH97+GQ=")</f>
        <v>#REF!</v>
      </c>
      <c r="CX88" t="e">
        <f>AND(OUTPUT!#REF!,"AAAAAH97+GU=")</f>
        <v>#REF!</v>
      </c>
      <c r="CY88" t="e">
        <f>AND(OUTPUT!#REF!,"AAAAAH97+GY=")</f>
        <v>#REF!</v>
      </c>
      <c r="CZ88" t="e">
        <f>AND(OUTPUT!#REF!,"AAAAAH97+Gc=")</f>
        <v>#REF!</v>
      </c>
      <c r="DA88" t="e">
        <f>AND(OUTPUT!J291,"AAAAAH97+Gg=")</f>
        <v>#VALUE!</v>
      </c>
      <c r="DB88" t="e">
        <f>AND(OUTPUT!K291,"AAAAAH97+Gk=")</f>
        <v>#VALUE!</v>
      </c>
      <c r="DC88" t="e">
        <f>AND(OUTPUT!#REF!,"AAAAAH97+Go=")</f>
        <v>#REF!</v>
      </c>
      <c r="DD88" t="e">
        <f>AND(OUTPUT!#REF!,"AAAAAH97+Gs=")</f>
        <v>#REF!</v>
      </c>
      <c r="DE88" t="e">
        <f>AND(OUTPUT!I292,"AAAAAH97+Gw=")</f>
        <v>#VALUE!</v>
      </c>
      <c r="DF88" t="e">
        <f>AND(OUTPUT!#REF!,"AAAAAH97+G0=")</f>
        <v>#REF!</v>
      </c>
      <c r="DG88" t="e">
        <f>AND(OUTPUT!#REF!,"AAAAAH97+G4=")</f>
        <v>#REF!</v>
      </c>
      <c r="DH88" t="e">
        <f>AND(OUTPUT!#REF!,"AAAAAH97+G8=")</f>
        <v>#REF!</v>
      </c>
      <c r="DI88" t="e">
        <f>AND(OUTPUT!#REF!,"AAAAAH97+HA=")</f>
        <v>#REF!</v>
      </c>
      <c r="DJ88" t="e">
        <f>AND(OUTPUT!#REF!,"AAAAAH97+HE=")</f>
        <v>#REF!</v>
      </c>
      <c r="DK88" t="e">
        <f>AND(OUTPUT!#REF!,"AAAAAH97+HI=")</f>
        <v>#REF!</v>
      </c>
      <c r="DL88" t="e">
        <f>AND(OUTPUT!#REF!,"AAAAAH97+HM=")</f>
        <v>#REF!</v>
      </c>
      <c r="DM88" t="e">
        <f>AND(OUTPUT!J292,"AAAAAH97+HQ=")</f>
        <v>#VALUE!</v>
      </c>
      <c r="DN88" t="e">
        <f>AND(OUTPUT!K292,"AAAAAH97+HU=")</f>
        <v>#VALUE!</v>
      </c>
      <c r="DO88" t="e">
        <f>AND(OUTPUT!#REF!,"AAAAAH97+HY=")</f>
        <v>#REF!</v>
      </c>
      <c r="DP88" t="e">
        <f>AND(OUTPUT!#REF!,"AAAAAH97+Hc=")</f>
        <v>#REF!</v>
      </c>
      <c r="DQ88" t="e">
        <f>AND(OUTPUT!I293,"AAAAAH97+Hg=")</f>
        <v>#VALUE!</v>
      </c>
      <c r="DR88" t="e">
        <f>AND(OUTPUT!#REF!,"AAAAAH97+Hk=")</f>
        <v>#REF!</v>
      </c>
      <c r="DS88" t="e">
        <f>AND(OUTPUT!#REF!,"AAAAAH97+Ho=")</f>
        <v>#REF!</v>
      </c>
      <c r="DT88" t="e">
        <f>AND(OUTPUT!#REF!,"AAAAAH97+Hs=")</f>
        <v>#REF!</v>
      </c>
      <c r="DU88" t="e">
        <f>AND(OUTPUT!#REF!,"AAAAAH97+Hw=")</f>
        <v>#REF!</v>
      </c>
      <c r="DV88" t="e">
        <f>AND(OUTPUT!#REF!,"AAAAAH97+H0=")</f>
        <v>#REF!</v>
      </c>
      <c r="DW88" t="e">
        <f>AND(OUTPUT!#REF!,"AAAAAH97+H4=")</f>
        <v>#REF!</v>
      </c>
      <c r="DX88" t="e">
        <f>AND(OUTPUT!#REF!,"AAAAAH97+H8=")</f>
        <v>#REF!</v>
      </c>
      <c r="DY88" t="e">
        <f>AND(OUTPUT!J293,"AAAAAH97+IA=")</f>
        <v>#VALUE!</v>
      </c>
      <c r="DZ88" t="e">
        <f>AND(OUTPUT!K293,"AAAAAH97+IE=")</f>
        <v>#VALUE!</v>
      </c>
      <c r="EA88" t="e">
        <f>AND(OUTPUT!#REF!,"AAAAAH97+II=")</f>
        <v>#REF!</v>
      </c>
      <c r="EB88" t="e">
        <f>AND(OUTPUT!#REF!,"AAAAAH97+IM=")</f>
        <v>#REF!</v>
      </c>
      <c r="EC88" t="e">
        <f>AND(OUTPUT!I294,"AAAAAH97+IQ=")</f>
        <v>#VALUE!</v>
      </c>
      <c r="ED88" t="e">
        <f>AND(OUTPUT!#REF!,"AAAAAH97+IU=")</f>
        <v>#REF!</v>
      </c>
      <c r="EE88" t="e">
        <f>AND(OUTPUT!#REF!,"AAAAAH97+IY=")</f>
        <v>#REF!</v>
      </c>
      <c r="EF88" t="e">
        <f>AND(OUTPUT!#REF!,"AAAAAH97+Ic=")</f>
        <v>#REF!</v>
      </c>
      <c r="EG88" t="e">
        <f>AND(OUTPUT!#REF!,"AAAAAH97+Ig=")</f>
        <v>#REF!</v>
      </c>
      <c r="EH88" t="e">
        <f>AND(OUTPUT!#REF!,"AAAAAH97+Ik=")</f>
        <v>#REF!</v>
      </c>
      <c r="EI88" t="e">
        <f>AND(OUTPUT!#REF!,"AAAAAH97+Io=")</f>
        <v>#REF!</v>
      </c>
      <c r="EJ88" t="e">
        <f>AND(OUTPUT!#REF!,"AAAAAH97+Is=")</f>
        <v>#REF!</v>
      </c>
      <c r="EK88" t="e">
        <f>AND(OUTPUT!J294,"AAAAAH97+Iw=")</f>
        <v>#VALUE!</v>
      </c>
      <c r="EL88" t="e">
        <f>AND(OUTPUT!K294,"AAAAAH97+I0=")</f>
        <v>#VALUE!</v>
      </c>
      <c r="EM88" t="e">
        <f>AND(OUTPUT!#REF!,"AAAAAH97+I4=")</f>
        <v>#REF!</v>
      </c>
      <c r="EN88" t="e">
        <f>AND(OUTPUT!#REF!,"AAAAAH97+I8=")</f>
        <v>#REF!</v>
      </c>
      <c r="EO88">
        <f>IF(OUTPUT!295:295,"AAAAAH97+JA=",0)</f>
        <v>0</v>
      </c>
      <c r="EP88" t="e">
        <f>AND(OUTPUT!C296,"AAAAAH97+JE=")</f>
        <v>#VALUE!</v>
      </c>
      <c r="EQ88" t="e">
        <f>AND(OUTPUT!D295,"AAAAAH97+JI=")</f>
        <v>#VALUE!</v>
      </c>
      <c r="ER88" t="e">
        <f>AND(OUTPUT!E296,"AAAAAH97+JM=")</f>
        <v>#VALUE!</v>
      </c>
      <c r="ES88" t="e">
        <f>AND(OUTPUT!F296,"AAAAAH97+JQ=")</f>
        <v>#VALUE!</v>
      </c>
      <c r="ET88" t="e">
        <f>AND(OUTPUT!G296,"AAAAAH97+JU=")</f>
        <v>#VALUE!</v>
      </c>
      <c r="EU88" t="e">
        <f>AND(OUTPUT!I295,"AAAAAH97+JY=")</f>
        <v>#VALUE!</v>
      </c>
      <c r="EV88" t="e">
        <f>AND(OUTPUT!#REF!,"AAAAAH97+Jc=")</f>
        <v>#REF!</v>
      </c>
      <c r="EW88" t="e">
        <f>AND(OUTPUT!#REF!,"AAAAAH97+Jg=")</f>
        <v>#REF!</v>
      </c>
      <c r="EX88" t="e">
        <f>AND(OUTPUT!#REF!,"AAAAAH97+Jk=")</f>
        <v>#REF!</v>
      </c>
      <c r="EY88" t="e">
        <f>AND(OUTPUT!#REF!,"AAAAAH97+Jo=")</f>
        <v>#REF!</v>
      </c>
      <c r="EZ88" t="e">
        <f>AND(OUTPUT!#REF!,"AAAAAH97+Js=")</f>
        <v>#REF!</v>
      </c>
      <c r="FA88" t="e">
        <f>AND(OUTPUT!#REF!,"AAAAAH97+Jw=")</f>
        <v>#REF!</v>
      </c>
      <c r="FB88" t="e">
        <f>AND(OUTPUT!#REF!,"AAAAAH97+J0=")</f>
        <v>#REF!</v>
      </c>
      <c r="FC88" t="e">
        <f>AND(OUTPUT!J295,"AAAAAH97+J4=")</f>
        <v>#VALUE!</v>
      </c>
      <c r="FD88" t="e">
        <f>AND(OUTPUT!K295,"AAAAAH97+J8=")</f>
        <v>#VALUE!</v>
      </c>
      <c r="FE88" t="e">
        <f>AND(OUTPUT!#REF!,"AAAAAH97+KA=")</f>
        <v>#REF!</v>
      </c>
      <c r="FF88" t="e">
        <f>AND(OUTPUT!#REF!,"AAAAAH97+KE=")</f>
        <v>#REF!</v>
      </c>
      <c r="FG88">
        <f>IF(OUTPUT!296:296,"AAAAAH97+KI=",0)</f>
        <v>0</v>
      </c>
      <c r="FH88" t="e">
        <f>AND(OUTPUT!C297,"AAAAAH97+KM=")</f>
        <v>#VALUE!</v>
      </c>
      <c r="FI88" t="e">
        <f>AND(OUTPUT!D296,"AAAAAH97+KQ=")</f>
        <v>#VALUE!</v>
      </c>
      <c r="FJ88" t="e">
        <f>AND(OUTPUT!E297,"AAAAAH97+KU=")</f>
        <v>#VALUE!</v>
      </c>
      <c r="FK88" t="e">
        <f>AND(OUTPUT!F297,"AAAAAH97+KY=")</f>
        <v>#VALUE!</v>
      </c>
      <c r="FL88" t="e">
        <f>AND(OUTPUT!G297,"AAAAAH97+Kc=")</f>
        <v>#VALUE!</v>
      </c>
      <c r="FM88" t="e">
        <f>AND(OUTPUT!I296,"AAAAAH97+Kg=")</f>
        <v>#VALUE!</v>
      </c>
      <c r="FN88" t="e">
        <f>AND(OUTPUT!#REF!,"AAAAAH97+Kk=")</f>
        <v>#REF!</v>
      </c>
      <c r="FO88" t="e">
        <f>AND(OUTPUT!#REF!,"AAAAAH97+Ko=")</f>
        <v>#REF!</v>
      </c>
      <c r="FP88" t="e">
        <f>AND(OUTPUT!#REF!,"AAAAAH97+Ks=")</f>
        <v>#REF!</v>
      </c>
      <c r="FQ88" t="e">
        <f>AND(OUTPUT!#REF!,"AAAAAH97+Kw=")</f>
        <v>#REF!</v>
      </c>
      <c r="FR88" t="e">
        <f>AND(OUTPUT!#REF!,"AAAAAH97+K0=")</f>
        <v>#REF!</v>
      </c>
      <c r="FS88" t="e">
        <f>AND(OUTPUT!#REF!,"AAAAAH97+K4=")</f>
        <v>#REF!</v>
      </c>
      <c r="FT88" t="e">
        <f>AND(OUTPUT!#REF!,"AAAAAH97+K8=")</f>
        <v>#REF!</v>
      </c>
      <c r="FU88" t="e">
        <f>AND(OUTPUT!J296,"AAAAAH97+LA=")</f>
        <v>#VALUE!</v>
      </c>
      <c r="FV88" t="e">
        <f>AND(OUTPUT!K296,"AAAAAH97+LE=")</f>
        <v>#VALUE!</v>
      </c>
      <c r="FW88" t="e">
        <f>AND(OUTPUT!#REF!,"AAAAAH97+LI=")</f>
        <v>#REF!</v>
      </c>
      <c r="FX88" t="e">
        <f>AND(OUTPUT!#REF!,"AAAAAH97+LM=")</f>
        <v>#REF!</v>
      </c>
      <c r="FY88">
        <f>IF(OUTPUT!297:297,"AAAAAH97+LQ=",0)</f>
        <v>0</v>
      </c>
      <c r="FZ88" t="e">
        <f>AND(OUTPUT!C298,"AAAAAH97+LU=")</f>
        <v>#VALUE!</v>
      </c>
      <c r="GA88" t="e">
        <f>AND(OUTPUT!D297,"AAAAAH97+LY=")</f>
        <v>#VALUE!</v>
      </c>
      <c r="GB88" t="e">
        <f>AND(OUTPUT!E298,"AAAAAH97+Lc=")</f>
        <v>#VALUE!</v>
      </c>
      <c r="GC88" t="e">
        <f>AND(OUTPUT!F298,"AAAAAH97+Lg=")</f>
        <v>#VALUE!</v>
      </c>
      <c r="GD88" t="e">
        <f>AND(OUTPUT!G298,"AAAAAH97+Lk=")</f>
        <v>#VALUE!</v>
      </c>
      <c r="GE88" t="e">
        <f>AND(OUTPUT!I297,"AAAAAH97+Lo=")</f>
        <v>#VALUE!</v>
      </c>
      <c r="GF88" t="e">
        <f>AND(OUTPUT!#REF!,"AAAAAH97+Ls=")</f>
        <v>#REF!</v>
      </c>
      <c r="GG88" t="e">
        <f>AND(OUTPUT!#REF!,"AAAAAH97+Lw=")</f>
        <v>#REF!</v>
      </c>
      <c r="GH88" t="e">
        <f>AND(OUTPUT!#REF!,"AAAAAH97+L0=")</f>
        <v>#REF!</v>
      </c>
      <c r="GI88" t="e">
        <f>AND(OUTPUT!#REF!,"AAAAAH97+L4=")</f>
        <v>#REF!</v>
      </c>
      <c r="GJ88" t="e">
        <f>AND(OUTPUT!#REF!,"AAAAAH97+L8=")</f>
        <v>#REF!</v>
      </c>
      <c r="GK88" t="e">
        <f>AND(OUTPUT!#REF!,"AAAAAH97+MA=")</f>
        <v>#REF!</v>
      </c>
      <c r="GL88" t="e">
        <f>AND(OUTPUT!#REF!,"AAAAAH97+ME=")</f>
        <v>#REF!</v>
      </c>
      <c r="GM88" t="e">
        <f>AND(OUTPUT!J297,"AAAAAH97+MI=")</f>
        <v>#VALUE!</v>
      </c>
      <c r="GN88" t="e">
        <f>AND(OUTPUT!K297,"AAAAAH97+MM=")</f>
        <v>#VALUE!</v>
      </c>
      <c r="GO88" t="e">
        <f>AND(OUTPUT!#REF!,"AAAAAH97+MQ=")</f>
        <v>#REF!</v>
      </c>
      <c r="GP88" t="e">
        <f>AND(OUTPUT!#REF!,"AAAAAH97+MU=")</f>
        <v>#REF!</v>
      </c>
      <c r="GQ88">
        <f>IF(OUTPUT!298:298,"AAAAAH97+MY=",0)</f>
        <v>0</v>
      </c>
      <c r="GR88" t="e">
        <f>AND(OUTPUT!C299,"AAAAAH97+Mc=")</f>
        <v>#VALUE!</v>
      </c>
      <c r="GS88" t="e">
        <f>AND(OUTPUT!D298,"AAAAAH97+Mg=")</f>
        <v>#VALUE!</v>
      </c>
      <c r="GT88" t="e">
        <f>AND(OUTPUT!E299,"AAAAAH97+Mk=")</f>
        <v>#VALUE!</v>
      </c>
      <c r="GU88" t="e">
        <f>AND(OUTPUT!F299,"AAAAAH97+Mo=")</f>
        <v>#VALUE!</v>
      </c>
      <c r="GV88" t="e">
        <f>AND(OUTPUT!G299,"AAAAAH97+Ms=")</f>
        <v>#VALUE!</v>
      </c>
      <c r="GW88" t="e">
        <f>AND(OUTPUT!I298,"AAAAAH97+Mw=")</f>
        <v>#VALUE!</v>
      </c>
      <c r="GX88" t="e">
        <f>AND(OUTPUT!#REF!,"AAAAAH97+M0=")</f>
        <v>#REF!</v>
      </c>
      <c r="GY88" t="e">
        <f>AND(OUTPUT!#REF!,"AAAAAH97+M4=")</f>
        <v>#REF!</v>
      </c>
      <c r="GZ88" t="e">
        <f>AND(OUTPUT!#REF!,"AAAAAH97+M8=")</f>
        <v>#REF!</v>
      </c>
      <c r="HA88" t="e">
        <f>AND(OUTPUT!#REF!,"AAAAAH97+NA=")</f>
        <v>#REF!</v>
      </c>
      <c r="HB88" t="e">
        <f>AND(OUTPUT!#REF!,"AAAAAH97+NE=")</f>
        <v>#REF!</v>
      </c>
      <c r="HC88" t="e">
        <f>AND(OUTPUT!#REF!,"AAAAAH97+NI=")</f>
        <v>#REF!</v>
      </c>
      <c r="HD88" t="e">
        <f>AND(OUTPUT!#REF!,"AAAAAH97+NM=")</f>
        <v>#REF!</v>
      </c>
      <c r="HE88" t="e">
        <f>AND(OUTPUT!J298,"AAAAAH97+NQ=")</f>
        <v>#VALUE!</v>
      </c>
      <c r="HF88" t="e">
        <f>AND(OUTPUT!K298,"AAAAAH97+NU=")</f>
        <v>#VALUE!</v>
      </c>
      <c r="HG88" t="e">
        <f>AND(OUTPUT!#REF!,"AAAAAH97+NY=")</f>
        <v>#REF!</v>
      </c>
      <c r="HH88" t="e">
        <f>AND(OUTPUT!#REF!,"AAAAAH97+Nc=")</f>
        <v>#REF!</v>
      </c>
      <c r="HI88">
        <f>IF(OUTPUT!299:299,"AAAAAH97+Ng=",0)</f>
        <v>0</v>
      </c>
      <c r="HJ88" t="e">
        <f>AND(OUTPUT!C300,"AAAAAH97+Nk=")</f>
        <v>#VALUE!</v>
      </c>
      <c r="HK88" t="e">
        <f>AND(OUTPUT!D299,"AAAAAH97+No=")</f>
        <v>#VALUE!</v>
      </c>
      <c r="HL88" t="e">
        <f>AND(OUTPUT!E300,"AAAAAH97+Ns=")</f>
        <v>#VALUE!</v>
      </c>
      <c r="HM88" t="e">
        <f>AND(OUTPUT!F300,"AAAAAH97+Nw=")</f>
        <v>#VALUE!</v>
      </c>
      <c r="HN88" t="e">
        <f>AND(OUTPUT!G300,"AAAAAH97+N0=")</f>
        <v>#VALUE!</v>
      </c>
      <c r="HO88" t="e">
        <f>AND(OUTPUT!I299,"AAAAAH97+N4=")</f>
        <v>#VALUE!</v>
      </c>
      <c r="HP88" t="e">
        <f>AND(OUTPUT!#REF!,"AAAAAH97+N8=")</f>
        <v>#REF!</v>
      </c>
      <c r="HQ88" t="e">
        <f>AND(OUTPUT!#REF!,"AAAAAH97+OA=")</f>
        <v>#REF!</v>
      </c>
      <c r="HR88" t="e">
        <f>AND(OUTPUT!#REF!,"AAAAAH97+OE=")</f>
        <v>#REF!</v>
      </c>
      <c r="HS88" t="e">
        <f>AND(OUTPUT!#REF!,"AAAAAH97+OI=")</f>
        <v>#REF!</v>
      </c>
      <c r="HT88" t="e">
        <f>AND(OUTPUT!#REF!,"AAAAAH97+OM=")</f>
        <v>#REF!</v>
      </c>
      <c r="HU88" t="e">
        <f>AND(OUTPUT!#REF!,"AAAAAH97+OQ=")</f>
        <v>#REF!</v>
      </c>
      <c r="HV88" t="e">
        <f>AND(OUTPUT!#REF!,"AAAAAH97+OU=")</f>
        <v>#REF!</v>
      </c>
      <c r="HW88" t="e">
        <f>AND(OUTPUT!J299,"AAAAAH97+OY=")</f>
        <v>#VALUE!</v>
      </c>
      <c r="HX88" t="e">
        <f>AND(OUTPUT!K299,"AAAAAH97+Oc=")</f>
        <v>#VALUE!</v>
      </c>
      <c r="HY88" t="e">
        <f>AND(OUTPUT!#REF!,"AAAAAH97+Og=")</f>
        <v>#REF!</v>
      </c>
      <c r="HZ88" t="e">
        <f>AND(OUTPUT!#REF!,"AAAAAH97+Ok=")</f>
        <v>#REF!</v>
      </c>
      <c r="IA88">
        <f>IF(OUTPUT!301:301,"AAAAAH97+Oo=",0)</f>
        <v>0</v>
      </c>
      <c r="IB88" t="e">
        <f>AND(OUTPUT!C302,"AAAAAH97+Os=")</f>
        <v>#VALUE!</v>
      </c>
      <c r="IC88" t="e">
        <f>AND(OUTPUT!D300,"AAAAAH97+Ow=")</f>
        <v>#VALUE!</v>
      </c>
      <c r="ID88" t="e">
        <f>AND(OUTPUT!E302,"AAAAAH97+O0=")</f>
        <v>#VALUE!</v>
      </c>
      <c r="IE88" t="e">
        <f>AND(OUTPUT!F302,"AAAAAH97+O4=")</f>
        <v>#VALUE!</v>
      </c>
      <c r="IF88" t="e">
        <f>AND(OUTPUT!G302,"AAAAAH97+O8=")</f>
        <v>#VALUE!</v>
      </c>
      <c r="IG88" t="e">
        <f>AND(OUTPUT!I301,"AAAAAH97+PA=")</f>
        <v>#VALUE!</v>
      </c>
      <c r="IH88" t="e">
        <f>AND(OUTPUT!#REF!,"AAAAAH97+PE=")</f>
        <v>#REF!</v>
      </c>
      <c r="II88" t="e">
        <f>AND(OUTPUT!#REF!,"AAAAAH97+PI=")</f>
        <v>#REF!</v>
      </c>
      <c r="IJ88" t="e">
        <f>AND(OUTPUT!#REF!,"AAAAAH97+PM=")</f>
        <v>#REF!</v>
      </c>
      <c r="IK88" t="e">
        <f>AND(OUTPUT!#REF!,"AAAAAH97+PQ=")</f>
        <v>#REF!</v>
      </c>
      <c r="IL88" t="e">
        <f>AND(OUTPUT!#REF!,"AAAAAH97+PU=")</f>
        <v>#REF!</v>
      </c>
      <c r="IM88" t="e">
        <f>AND(OUTPUT!#REF!,"AAAAAH97+PY=")</f>
        <v>#REF!</v>
      </c>
      <c r="IN88" t="e">
        <f>AND(OUTPUT!#REF!,"AAAAAH97+Pc=")</f>
        <v>#REF!</v>
      </c>
      <c r="IO88" t="e">
        <f>AND(OUTPUT!J301,"AAAAAH97+Pg=")</f>
        <v>#VALUE!</v>
      </c>
      <c r="IP88" t="e">
        <f>AND(OUTPUT!K301,"AAAAAH97+Pk=")</f>
        <v>#VALUE!</v>
      </c>
      <c r="IQ88" t="e">
        <f>AND(OUTPUT!#REF!,"AAAAAH97+Po=")</f>
        <v>#REF!</v>
      </c>
      <c r="IR88" t="e">
        <f>AND(OUTPUT!#REF!,"AAAAAH97+Ps=")</f>
        <v>#REF!</v>
      </c>
      <c r="IS88">
        <f>IF(OUTPUT!302:302,"AAAAAH97+Pw=",0)</f>
        <v>0</v>
      </c>
      <c r="IT88" t="e">
        <f>AND(OUTPUT!C303,"AAAAAH97+P0=")</f>
        <v>#VALUE!</v>
      </c>
      <c r="IU88" t="e">
        <f>AND(OUTPUT!D302,"AAAAAH97+P4=")</f>
        <v>#VALUE!</v>
      </c>
      <c r="IV88" t="e">
        <f>AND(OUTPUT!E303,"AAAAAH97+P8=")</f>
        <v>#VALUE!</v>
      </c>
    </row>
    <row r="89" spans="1:256" x14ac:dyDescent="0.2">
      <c r="A89" t="e">
        <f>AND(OUTPUT!F303,"AAAAAGr//gA=")</f>
        <v>#VALUE!</v>
      </c>
      <c r="B89" t="e">
        <f>AND(OUTPUT!G303,"AAAAAGr//gE=")</f>
        <v>#VALUE!</v>
      </c>
      <c r="C89" t="e">
        <f>AND(OUTPUT!I302,"AAAAAGr//gI=")</f>
        <v>#VALUE!</v>
      </c>
      <c r="D89" t="e">
        <f>AND(OUTPUT!#REF!,"AAAAAGr//gM=")</f>
        <v>#REF!</v>
      </c>
      <c r="E89" t="e">
        <f>AND(OUTPUT!#REF!,"AAAAAGr//gQ=")</f>
        <v>#REF!</v>
      </c>
      <c r="F89" t="e">
        <f>AND(OUTPUT!#REF!,"AAAAAGr//gU=")</f>
        <v>#REF!</v>
      </c>
      <c r="G89" t="e">
        <f>AND(OUTPUT!#REF!,"AAAAAGr//gY=")</f>
        <v>#REF!</v>
      </c>
      <c r="H89" t="e">
        <f>AND(OUTPUT!#REF!,"AAAAAGr//gc=")</f>
        <v>#REF!</v>
      </c>
      <c r="I89" t="e">
        <f>AND(OUTPUT!#REF!,"AAAAAGr//gg=")</f>
        <v>#REF!</v>
      </c>
      <c r="J89" t="e">
        <f>AND(OUTPUT!#REF!,"AAAAAGr//gk=")</f>
        <v>#REF!</v>
      </c>
      <c r="K89" t="e">
        <f>AND(OUTPUT!J302,"AAAAAGr//go=")</f>
        <v>#VALUE!</v>
      </c>
      <c r="L89" t="e">
        <f>AND(OUTPUT!K302,"AAAAAGr//gs=")</f>
        <v>#VALUE!</v>
      </c>
      <c r="M89" t="e">
        <f>AND(OUTPUT!#REF!,"AAAAAGr//gw=")</f>
        <v>#REF!</v>
      </c>
      <c r="N89" t="e">
        <f>AND(OUTPUT!#REF!,"AAAAAGr//g0=")</f>
        <v>#REF!</v>
      </c>
      <c r="O89">
        <f>IF(OUTPUT!303:303,"AAAAAGr//g4=",0)</f>
        <v>0</v>
      </c>
      <c r="P89" t="e">
        <f>AND(OUTPUT!C304,"AAAAAGr//g8=")</f>
        <v>#VALUE!</v>
      </c>
      <c r="Q89" t="e">
        <f>AND(OUTPUT!D303,"AAAAAGr//hA=")</f>
        <v>#VALUE!</v>
      </c>
      <c r="R89" t="e">
        <f>AND(OUTPUT!E304,"AAAAAGr//hE=")</f>
        <v>#VALUE!</v>
      </c>
      <c r="S89" t="e">
        <f>AND(OUTPUT!F304,"AAAAAGr//hI=")</f>
        <v>#VALUE!</v>
      </c>
      <c r="T89" t="e">
        <f>AND(OUTPUT!G304,"AAAAAGr//hM=")</f>
        <v>#VALUE!</v>
      </c>
      <c r="U89" t="e">
        <f>AND(OUTPUT!I303,"AAAAAGr//hQ=")</f>
        <v>#VALUE!</v>
      </c>
      <c r="V89" t="e">
        <f>AND(OUTPUT!#REF!,"AAAAAGr//hU=")</f>
        <v>#REF!</v>
      </c>
      <c r="W89" t="e">
        <f>AND(OUTPUT!#REF!,"AAAAAGr//hY=")</f>
        <v>#REF!</v>
      </c>
      <c r="X89" t="e">
        <f>AND(OUTPUT!#REF!,"AAAAAGr//hc=")</f>
        <v>#REF!</v>
      </c>
      <c r="Y89" t="e">
        <f>AND(OUTPUT!#REF!,"AAAAAGr//hg=")</f>
        <v>#REF!</v>
      </c>
      <c r="Z89" t="e">
        <f>AND(OUTPUT!#REF!,"AAAAAGr//hk=")</f>
        <v>#REF!</v>
      </c>
      <c r="AA89" t="e">
        <f>AND(OUTPUT!#REF!,"AAAAAGr//ho=")</f>
        <v>#REF!</v>
      </c>
      <c r="AB89" t="e">
        <f>AND(OUTPUT!#REF!,"AAAAAGr//hs=")</f>
        <v>#REF!</v>
      </c>
      <c r="AC89" t="e">
        <f>AND(OUTPUT!J303,"AAAAAGr//hw=")</f>
        <v>#VALUE!</v>
      </c>
      <c r="AD89" t="e">
        <f>AND(OUTPUT!K303,"AAAAAGr//h0=")</f>
        <v>#VALUE!</v>
      </c>
      <c r="AE89" t="e">
        <f>AND(OUTPUT!#REF!,"AAAAAGr//h4=")</f>
        <v>#REF!</v>
      </c>
      <c r="AF89" t="e">
        <f>AND(OUTPUT!#REF!,"AAAAAGr//h8=")</f>
        <v>#REF!</v>
      </c>
      <c r="AG89">
        <f>IF(OUTPUT!304:304,"AAAAAGr//iA=",0)</f>
        <v>0</v>
      </c>
      <c r="AH89" t="e">
        <f>AND(OUTPUT!C305,"AAAAAGr//iE=")</f>
        <v>#VALUE!</v>
      </c>
      <c r="AI89" t="e">
        <f>AND(OUTPUT!D304,"AAAAAGr//iI=")</f>
        <v>#VALUE!</v>
      </c>
      <c r="AJ89">
        <f>IF(OUTPUT!305:305,"AAAAAGr//iM=",0)</f>
        <v>0</v>
      </c>
      <c r="AK89" t="e">
        <f>AND(OUTPUT!C306,"AAAAAGr//iQ=")</f>
        <v>#VALUE!</v>
      </c>
      <c r="AL89" t="e">
        <f>AND(OUTPUT!D305,"AAAAAGr//iU=")</f>
        <v>#VALUE!</v>
      </c>
      <c r="AM89">
        <f>IF(OUTPUT!306:306,"AAAAAGr//iY=",0)</f>
        <v>0</v>
      </c>
      <c r="AN89" t="e">
        <f>AND(OUTPUT!C307,"AAAAAGr//ic=")</f>
        <v>#VALUE!</v>
      </c>
      <c r="AO89" t="e">
        <f>AND(OUTPUT!D306,"AAAAAGr//ig=")</f>
        <v>#VALUE!</v>
      </c>
      <c r="AP89">
        <f>IF(OUTPUT!307:307,"AAAAAGr//ik=",0)</f>
        <v>0</v>
      </c>
      <c r="AQ89" t="e">
        <f>AND(OUTPUT!C308,"AAAAAGr//io=")</f>
        <v>#VALUE!</v>
      </c>
      <c r="AR89" t="e">
        <f>AND(OUTPUT!D307,"AAAAAGr//is=")</f>
        <v>#VALUE!</v>
      </c>
      <c r="AS89">
        <f>IF(OUTPUT!308:308,"AAAAAGr//iw=",0)</f>
        <v>0</v>
      </c>
      <c r="AT89" t="e">
        <f>AND(OUTPUT!C309,"AAAAAGr//i0=")</f>
        <v>#VALUE!</v>
      </c>
      <c r="AU89" t="e">
        <f>AND(OUTPUT!D308,"AAAAAGr//i4=")</f>
        <v>#VALUE!</v>
      </c>
      <c r="AV89" t="s">
        <v>23</v>
      </c>
    </row>
    <row r="90" spans="1:256" x14ac:dyDescent="0.2">
      <c r="A90" t="e">
        <f>AND(INPUT!#REF!,"AAAAAH/7fAA=")</f>
        <v>#REF!</v>
      </c>
      <c r="B90" t="e">
        <f>AND(INPUT!D88,"AAAAAH/7fAE=")</f>
        <v>#VALUE!</v>
      </c>
      <c r="C90" t="e">
        <f>AND(INPUT!E88,"AAAAAH/7fAI=")</f>
        <v>#VALUE!</v>
      </c>
      <c r="D90" t="e">
        <f>AND(INPUT!G88,"AAAAAH/7fAM=")</f>
        <v>#VALUE!</v>
      </c>
      <c r="E90" t="e">
        <f>AND(INPUT!#REF!,"AAAAAH/7fAQ=")</f>
        <v>#REF!</v>
      </c>
      <c r="F90" t="e">
        <f>AND(INPUT!H88,"AAAAAH/7fAU=")</f>
        <v>#VALUE!</v>
      </c>
      <c r="G90" t="e">
        <f>AND(INPUT!#REF!,"AAAAAH/7fAY=")</f>
        <v>#REF!</v>
      </c>
      <c r="H90" t="e">
        <f>AND(INPUT!I84,"AAAAAH/7fAc=")</f>
        <v>#VALUE!</v>
      </c>
      <c r="I90" t="e">
        <f>AND(INPUT!#REF!,"AAAAAH/7fAg=")</f>
        <v>#REF!</v>
      </c>
      <c r="J90" t="e">
        <f>AND(INPUT!J84,"AAAAAH/7fAk=")</f>
        <v>#VALUE!</v>
      </c>
      <c r="K90" t="e">
        <f>AND(INPUT!K84,"AAAAAH/7fAo=")</f>
        <v>#VALUE!</v>
      </c>
      <c r="L90" t="e">
        <f>AND(INPUT!#REF!,"AAAAAH/7fAs=")</f>
        <v>#REF!</v>
      </c>
      <c r="M90" t="e">
        <f>AND(INPUT!#REF!,"AAAAAH/7fAw=")</f>
        <v>#REF!</v>
      </c>
      <c r="N90" t="e">
        <f>AND(INPUT!C88,"AAAAAH/7fA0=")</f>
        <v>#VALUE!</v>
      </c>
      <c r="O90" t="e">
        <f>AND(INPUT!D89,"AAAAAH/7fA4=")</f>
        <v>#VALUE!</v>
      </c>
      <c r="P90" t="e">
        <f>AND(INPUT!E89,"AAAAAH/7fA8=")</f>
        <v>#VALUE!</v>
      </c>
      <c r="Q90" t="e">
        <f>AND(INPUT!G89,"AAAAAH/7fBA=")</f>
        <v>#VALUE!</v>
      </c>
      <c r="R90" t="e">
        <f>AND(INPUT!#REF!,"AAAAAH/7fBE=")</f>
        <v>#REF!</v>
      </c>
      <c r="S90" t="e">
        <f>AND(INPUT!H89,"AAAAAH/7fBI=")</f>
        <v>#VALUE!</v>
      </c>
      <c r="T90" t="e">
        <f>AND(INPUT!#REF!,"AAAAAH/7fBM=")</f>
        <v>#REF!</v>
      </c>
      <c r="U90" t="e">
        <f>AND(INPUT!I85,"AAAAAH/7fBQ=")</f>
        <v>#VALUE!</v>
      </c>
      <c r="V90" t="e">
        <f>AND(INPUT!#REF!,"AAAAAH/7fBU=")</f>
        <v>#REF!</v>
      </c>
      <c r="W90" t="e">
        <f>AND(INPUT!J85,"AAAAAH/7fBY=")</f>
        <v>#VALUE!</v>
      </c>
      <c r="X90" t="e">
        <f>AND(INPUT!K85,"AAAAAH/7fBc=")</f>
        <v>#VALUE!</v>
      </c>
      <c r="Y90" t="e">
        <f>AND(INPUT!#REF!,"AAAAAH/7fBg=")</f>
        <v>#REF!</v>
      </c>
      <c r="Z90" t="e">
        <f>AND(INPUT!#REF!,"AAAAAH/7fBk=")</f>
        <v>#REF!</v>
      </c>
      <c r="AA90" t="e">
        <f>AND(OUTPUT!E305,"AAAAAH/7fBo=")</f>
        <v>#VALUE!</v>
      </c>
      <c r="AB90" t="e">
        <f>AND(OUTPUT!F305,"AAAAAH/7fBs=")</f>
        <v>#VALUE!</v>
      </c>
      <c r="AC90" t="e">
        <f>AND(OUTPUT!G305,"AAAAAH/7fBw=")</f>
        <v>#VALUE!</v>
      </c>
      <c r="AD90" t="e">
        <f>AND(OUTPUT!I304,"AAAAAH/7fB0=")</f>
        <v>#VALUE!</v>
      </c>
      <c r="AE90" t="e">
        <f>AND(OUTPUT!#REF!,"AAAAAH/7fB4=")</f>
        <v>#REF!</v>
      </c>
      <c r="AF90" t="e">
        <f>AND(OUTPUT!E306,"AAAAAH/7fB8=")</f>
        <v>#VALUE!</v>
      </c>
      <c r="AG90" t="e">
        <f>AND(OUTPUT!F306,"AAAAAH/7fCA=")</f>
        <v>#VALUE!</v>
      </c>
      <c r="AH90" t="e">
        <f>AND(OUTPUT!G306,"AAAAAH/7fCE=")</f>
        <v>#VALUE!</v>
      </c>
      <c r="AI90" t="e">
        <f>AND(OUTPUT!I305,"AAAAAH/7fCI=")</f>
        <v>#VALUE!</v>
      </c>
      <c r="AJ90" t="e">
        <f>AND(OUTPUT!#REF!,"AAAAAH/7fCM=")</f>
        <v>#REF!</v>
      </c>
      <c r="AK90" t="e">
        <f>AND(OUTPUT!E307,"AAAAAH/7fCQ=")</f>
        <v>#VALUE!</v>
      </c>
      <c r="AL90" t="e">
        <f>AND(OUTPUT!F307,"AAAAAH/7fCU=")</f>
        <v>#VALUE!</v>
      </c>
      <c r="AM90" t="e">
        <f>AND(OUTPUT!G307,"AAAAAH/7fCY=")</f>
        <v>#VALUE!</v>
      </c>
      <c r="AN90" t="e">
        <f>AND(OUTPUT!I306,"AAAAAH/7fCc=")</f>
        <v>#VALUE!</v>
      </c>
      <c r="AO90" t="e">
        <f>AND(OUTPUT!#REF!,"AAAAAH/7fCg=")</f>
        <v>#REF!</v>
      </c>
      <c r="AP90" t="e">
        <f>AND(OUTPUT!E308,"AAAAAH/7fCk=")</f>
        <v>#VALUE!</v>
      </c>
      <c r="AQ90" t="e">
        <f>AND(OUTPUT!F308,"AAAAAH/7fCo=")</f>
        <v>#VALUE!</v>
      </c>
      <c r="AR90" t="e">
        <f>AND(OUTPUT!G308,"AAAAAH/7fCs=")</f>
        <v>#VALUE!</v>
      </c>
      <c r="AS90" t="e">
        <f>AND(OUTPUT!I307,"AAAAAH/7fCw=")</f>
        <v>#VALUE!</v>
      </c>
      <c r="AT90" t="e">
        <f>AND(OUTPUT!#REF!,"AAAAAH/7fC0=")</f>
        <v>#REF!</v>
      </c>
      <c r="AU90" t="e">
        <f>AND(OUTPUT!E309,"AAAAAH/7fC4=")</f>
        <v>#VALUE!</v>
      </c>
      <c r="AV90" t="e">
        <f>AND(OUTPUT!F309,"AAAAAH/7fC8=")</f>
        <v>#VALUE!</v>
      </c>
      <c r="AW90" t="e">
        <f>AND(OUTPUT!G309,"AAAAAH/7fDA=")</f>
        <v>#VALUE!</v>
      </c>
      <c r="AX90" t="e">
        <f>AND(OUTPUT!I308,"AAAAAH/7fDE=")</f>
        <v>#VALUE!</v>
      </c>
      <c r="AY90" t="e">
        <f>AND(OUTPUT!#REF!,"AAAAAH/7fDI=")</f>
        <v>#REF!</v>
      </c>
      <c r="AZ90">
        <f>IF(OUTPUT!309:309,"AAAAAH/7fDM=",0)</f>
        <v>0</v>
      </c>
      <c r="BA90" t="e">
        <f>AND(OUTPUT!C310,"AAAAAH/7fDQ=")</f>
        <v>#VALUE!</v>
      </c>
      <c r="BB90" t="e">
        <f>AND(OUTPUT!D309,"AAAAAH/7fDU=")</f>
        <v>#VALUE!</v>
      </c>
      <c r="BC90" t="e">
        <f>AND(OUTPUT!E310,"AAAAAH/7fDY=")</f>
        <v>#VALUE!</v>
      </c>
      <c r="BD90" t="e">
        <f>AND(OUTPUT!F310,"AAAAAH/7fDc=")</f>
        <v>#VALUE!</v>
      </c>
      <c r="BE90" t="e">
        <f>AND(OUTPUT!G310,"AAAAAH/7fDg=")</f>
        <v>#VALUE!</v>
      </c>
      <c r="BF90" t="e">
        <f>AND(OUTPUT!I309,"AAAAAH/7fDk=")</f>
        <v>#VALUE!</v>
      </c>
      <c r="BG90" t="e">
        <f>AND(OUTPUT!#REF!,"AAAAAH/7fDo=")</f>
        <v>#REF!</v>
      </c>
      <c r="BH90">
        <f>IF(OUTPUT!310:310,"AAAAAH/7fDs=",0)</f>
        <v>0</v>
      </c>
      <c r="BI90" t="e">
        <f>AND(OUTPUT!C311,"AAAAAH/7fDw=")</f>
        <v>#VALUE!</v>
      </c>
      <c r="BJ90" t="e">
        <f>AND(OUTPUT!D310,"AAAAAH/7fD0=")</f>
        <v>#VALUE!</v>
      </c>
      <c r="BK90" t="e">
        <f>AND(OUTPUT!E311,"AAAAAH/7fD4=")</f>
        <v>#VALUE!</v>
      </c>
      <c r="BL90" t="e">
        <f>AND(OUTPUT!F311,"AAAAAH/7fD8=")</f>
        <v>#VALUE!</v>
      </c>
      <c r="BM90" t="e">
        <f>AND(OUTPUT!G311,"AAAAAH/7fEA=")</f>
        <v>#VALUE!</v>
      </c>
      <c r="BN90" t="e">
        <f>AND(OUTPUT!I310,"AAAAAH/7fEE=")</f>
        <v>#VALUE!</v>
      </c>
      <c r="BO90" t="e">
        <f>AND(OUTPUT!#REF!,"AAAAAH/7fEI=")</f>
        <v>#REF!</v>
      </c>
      <c r="BP90">
        <f>IF(OUTPUT!311:311,"AAAAAH/7fEM=",0)</f>
        <v>0</v>
      </c>
      <c r="BQ90" t="e">
        <f>AND(OUTPUT!C312,"AAAAAH/7fEQ=")</f>
        <v>#VALUE!</v>
      </c>
      <c r="BR90" t="e">
        <f>AND(OUTPUT!D311,"AAAAAH/7fEU=")</f>
        <v>#VALUE!</v>
      </c>
      <c r="BS90" t="e">
        <f>AND(OUTPUT!E312,"AAAAAH/7fEY=")</f>
        <v>#VALUE!</v>
      </c>
      <c r="BT90" t="e">
        <f>AND(OUTPUT!F312,"AAAAAH/7fEc=")</f>
        <v>#VALUE!</v>
      </c>
      <c r="BU90" t="e">
        <f>AND(OUTPUT!G312,"AAAAAH/7fEg=")</f>
        <v>#VALUE!</v>
      </c>
      <c r="BV90" t="e">
        <f>AND(OUTPUT!I311,"AAAAAH/7fEk=")</f>
        <v>#VALUE!</v>
      </c>
      <c r="BW90" t="e">
        <f>AND(OUTPUT!#REF!,"AAAAAH/7fEo=")</f>
        <v>#REF!</v>
      </c>
      <c r="BX90">
        <f>IF(OUTPUT!312:312,"AAAAAH/7fEs=",0)</f>
        <v>0</v>
      </c>
      <c r="BY90" t="e">
        <f>AND(OUTPUT!C313,"AAAAAH/7fEw=")</f>
        <v>#VALUE!</v>
      </c>
      <c r="BZ90" t="e">
        <f>AND(OUTPUT!D312,"AAAAAH/7fE0=")</f>
        <v>#VALUE!</v>
      </c>
      <c r="CA90" t="e">
        <f>AND(OUTPUT!E313,"AAAAAH/7fE4=")</f>
        <v>#VALUE!</v>
      </c>
      <c r="CB90" t="e">
        <f>AND(OUTPUT!F313,"AAAAAH/7fE8=")</f>
        <v>#VALUE!</v>
      </c>
      <c r="CC90" t="e">
        <f>AND(OUTPUT!G313,"AAAAAH/7fFA=")</f>
        <v>#VALUE!</v>
      </c>
      <c r="CD90" t="e">
        <f>AND(OUTPUT!I312,"AAAAAH/7fFE=")</f>
        <v>#VALUE!</v>
      </c>
      <c r="CE90" t="e">
        <f>AND(OUTPUT!#REF!,"AAAAAH/7fFI=")</f>
        <v>#REF!</v>
      </c>
      <c r="CF90">
        <f>IF(OUTPUT!313:313,"AAAAAH/7fFM=",0)</f>
        <v>0</v>
      </c>
      <c r="CG90" t="e">
        <f>AND(OUTPUT!C314,"AAAAAH/7fFQ=")</f>
        <v>#VALUE!</v>
      </c>
      <c r="CH90" t="e">
        <f>AND(OUTPUT!D313,"AAAAAH/7fFU=")</f>
        <v>#VALUE!</v>
      </c>
      <c r="CI90" t="e">
        <f>AND(OUTPUT!E314,"AAAAAH/7fFY=")</f>
        <v>#VALUE!</v>
      </c>
      <c r="CJ90" t="e">
        <f>AND(OUTPUT!F314,"AAAAAH/7fFc=")</f>
        <v>#VALUE!</v>
      </c>
      <c r="CK90" t="e">
        <f>AND(OUTPUT!G314,"AAAAAH/7fFg=")</f>
        <v>#VALUE!</v>
      </c>
      <c r="CL90" t="e">
        <f>AND(OUTPUT!I313,"AAAAAH/7fFk=")</f>
        <v>#VALUE!</v>
      </c>
      <c r="CM90" t="e">
        <f>AND(OUTPUT!#REF!,"AAAAAH/7fFo=")</f>
        <v>#REF!</v>
      </c>
      <c r="CN90">
        <f>IF(OUTPUT!314:314,"AAAAAH/7fFs=",0)</f>
        <v>0</v>
      </c>
      <c r="CO90" t="e">
        <f>AND(OUTPUT!C315,"AAAAAH/7fFw=")</f>
        <v>#VALUE!</v>
      </c>
      <c r="CP90" t="e">
        <f>AND(OUTPUT!D314,"AAAAAH/7fF0=")</f>
        <v>#VALUE!</v>
      </c>
      <c r="CQ90" t="e">
        <f>AND(OUTPUT!E315,"AAAAAH/7fF4=")</f>
        <v>#VALUE!</v>
      </c>
      <c r="CR90" t="e">
        <f>AND(OUTPUT!F315,"AAAAAH/7fF8=")</f>
        <v>#VALUE!</v>
      </c>
      <c r="CS90" t="e">
        <f>AND(OUTPUT!G315,"AAAAAH/7fGA=")</f>
        <v>#VALUE!</v>
      </c>
      <c r="CT90" t="e">
        <f>AND(OUTPUT!I314,"AAAAAH/7fGE=")</f>
        <v>#VALUE!</v>
      </c>
      <c r="CU90" t="e">
        <f>AND(OUTPUT!#REF!,"AAAAAH/7fGI=")</f>
        <v>#REF!</v>
      </c>
      <c r="CV90">
        <f>IF(OUTPUT!315:315,"AAAAAH/7fGM=",0)</f>
        <v>0</v>
      </c>
      <c r="CW90" t="e">
        <f>AND(OUTPUT!C316,"AAAAAH/7fGQ=")</f>
        <v>#VALUE!</v>
      </c>
      <c r="CX90" t="e">
        <f>AND(OUTPUT!D315,"AAAAAH/7fGU=")</f>
        <v>#VALUE!</v>
      </c>
      <c r="CY90" t="e">
        <f>AND(OUTPUT!E316,"AAAAAH/7fGY=")</f>
        <v>#VALUE!</v>
      </c>
      <c r="CZ90" t="e">
        <f>AND(OUTPUT!F316,"AAAAAH/7fGc=")</f>
        <v>#VALUE!</v>
      </c>
      <c r="DA90" t="e">
        <f>AND(OUTPUT!G316,"AAAAAH/7fGg=")</f>
        <v>#VALUE!</v>
      </c>
      <c r="DB90" t="e">
        <f>AND(OUTPUT!I315,"AAAAAH/7fGk=")</f>
        <v>#VALUE!</v>
      </c>
      <c r="DC90" t="e">
        <f>AND(OUTPUT!#REF!,"AAAAAH/7fGo=")</f>
        <v>#REF!</v>
      </c>
      <c r="DD90">
        <f>IF(OUTPUT!316:316,"AAAAAH/7fGs=",0)</f>
        <v>0</v>
      </c>
      <c r="DE90" t="e">
        <f>AND(OUTPUT!C317,"AAAAAH/7fGw=")</f>
        <v>#VALUE!</v>
      </c>
      <c r="DF90" t="e">
        <f>AND(OUTPUT!D316,"AAAAAH/7fG0=")</f>
        <v>#VALUE!</v>
      </c>
      <c r="DG90" t="e">
        <f>AND(OUTPUT!E317,"AAAAAH/7fG4=")</f>
        <v>#VALUE!</v>
      </c>
      <c r="DH90" t="e">
        <f>AND(OUTPUT!F317,"AAAAAH/7fG8=")</f>
        <v>#VALUE!</v>
      </c>
      <c r="DI90" t="e">
        <f>AND(OUTPUT!G317,"AAAAAH/7fHA=")</f>
        <v>#VALUE!</v>
      </c>
      <c r="DJ90" t="e">
        <f>AND(OUTPUT!I316,"AAAAAH/7fHE=")</f>
        <v>#VALUE!</v>
      </c>
      <c r="DK90" t="e">
        <f>AND(OUTPUT!#REF!,"AAAAAH/7fHI=")</f>
        <v>#REF!</v>
      </c>
      <c r="DL90">
        <f>IF(OUTPUT!317:317,"AAAAAH/7fHM=",0)</f>
        <v>0</v>
      </c>
      <c r="DM90" t="e">
        <f>AND(OUTPUT!C318,"AAAAAH/7fHQ=")</f>
        <v>#VALUE!</v>
      </c>
      <c r="DN90" t="e">
        <f>AND(OUTPUT!D317,"AAAAAH/7fHU=")</f>
        <v>#VALUE!</v>
      </c>
      <c r="DO90" t="e">
        <f>AND(OUTPUT!E318,"AAAAAH/7fHY=")</f>
        <v>#VALUE!</v>
      </c>
      <c r="DP90" t="e">
        <f>AND(OUTPUT!F318,"AAAAAH/7fHc=")</f>
        <v>#VALUE!</v>
      </c>
      <c r="DQ90" t="e">
        <f>AND(OUTPUT!G318,"AAAAAH/7fHg=")</f>
        <v>#VALUE!</v>
      </c>
      <c r="DR90" t="e">
        <f>AND(OUTPUT!I317,"AAAAAH/7fHk=")</f>
        <v>#VALUE!</v>
      </c>
      <c r="DS90" t="e">
        <f>AND(OUTPUT!#REF!,"AAAAAH/7fHo=")</f>
        <v>#REF!</v>
      </c>
      <c r="DT90">
        <f>IF(OUTPUT!318:318,"AAAAAH/7fHs=",0)</f>
        <v>0</v>
      </c>
      <c r="DU90" t="e">
        <f>AND(OUTPUT!C319,"AAAAAH/7fHw=")</f>
        <v>#VALUE!</v>
      </c>
      <c r="DV90" t="e">
        <f>AND(OUTPUT!D318,"AAAAAH/7fH0=")</f>
        <v>#VALUE!</v>
      </c>
      <c r="DW90" t="e">
        <f>AND(OUTPUT!E319,"AAAAAH/7fH4=")</f>
        <v>#VALUE!</v>
      </c>
      <c r="DX90" t="e">
        <f>AND(OUTPUT!F319,"AAAAAH/7fH8=")</f>
        <v>#VALUE!</v>
      </c>
      <c r="DY90" t="e">
        <f>AND(OUTPUT!G319,"AAAAAH/7fIA=")</f>
        <v>#VALUE!</v>
      </c>
      <c r="DZ90" t="e">
        <f>AND(OUTPUT!I318,"AAAAAH/7fIE=")</f>
        <v>#VALUE!</v>
      </c>
      <c r="EA90" t="e">
        <f>AND(OUTPUT!#REF!,"AAAAAH/7fII=")</f>
        <v>#REF!</v>
      </c>
      <c r="EB90">
        <f>IF(OUTPUT!320:320,"AAAAAH/7fIM=",0)</f>
        <v>0</v>
      </c>
      <c r="EC90" t="e">
        <f>AND(OUTPUT!C321,"AAAAAH/7fIQ=")</f>
        <v>#VALUE!</v>
      </c>
      <c r="ED90" t="e">
        <f>AND(OUTPUT!D319,"AAAAAH/7fIU=")</f>
        <v>#VALUE!</v>
      </c>
      <c r="EE90" t="e">
        <f>AND(OUTPUT!E321,"AAAAAH/7fIY=")</f>
        <v>#VALUE!</v>
      </c>
      <c r="EF90" t="e">
        <f>AND(OUTPUT!F321,"AAAAAH/7fIc=")</f>
        <v>#VALUE!</v>
      </c>
      <c r="EG90" t="e">
        <f>AND(OUTPUT!G321,"AAAAAH/7fIg=")</f>
        <v>#VALUE!</v>
      </c>
      <c r="EH90" t="e">
        <f>AND(OUTPUT!I320,"AAAAAH/7fIk=")</f>
        <v>#VALUE!</v>
      </c>
      <c r="EI90" t="e">
        <f>AND(OUTPUT!#REF!,"AAAAAH/7fIo=")</f>
        <v>#REF!</v>
      </c>
      <c r="EJ90">
        <f>IF(OUTPUT!321:321,"AAAAAH/7fIs=",0)</f>
        <v>0</v>
      </c>
      <c r="EK90" t="e">
        <f>AND(OUTPUT!C322,"AAAAAH/7fIw=")</f>
        <v>#VALUE!</v>
      </c>
      <c r="EL90" t="e">
        <f>AND(OUTPUT!D321,"AAAAAH/7fI0=")</f>
        <v>#VALUE!</v>
      </c>
      <c r="EM90" t="e">
        <f>AND(OUTPUT!E322,"AAAAAH/7fI4=")</f>
        <v>#VALUE!</v>
      </c>
      <c r="EN90" t="e">
        <f>AND(OUTPUT!F322,"AAAAAH/7fI8=")</f>
        <v>#VALUE!</v>
      </c>
      <c r="EO90" t="e">
        <f>AND(OUTPUT!G322,"AAAAAH/7fJA=")</f>
        <v>#VALUE!</v>
      </c>
      <c r="EP90" t="e">
        <f>AND(OUTPUT!I321,"AAAAAH/7fJE=")</f>
        <v>#VALUE!</v>
      </c>
      <c r="EQ90" t="e">
        <f>AND(OUTPUT!#REF!,"AAAAAH/7fJI=")</f>
        <v>#REF!</v>
      </c>
      <c r="ER90">
        <f>IF(OUTPUT!322:322,"AAAAAH/7fJM=",0)</f>
        <v>0</v>
      </c>
      <c r="ES90" t="e">
        <f>AND(OUTPUT!C323,"AAAAAH/7fJQ=")</f>
        <v>#VALUE!</v>
      </c>
      <c r="ET90" t="e">
        <f>AND(OUTPUT!D322,"AAAAAH/7fJU=")</f>
        <v>#VALUE!</v>
      </c>
      <c r="EU90" t="e">
        <f>AND(OUTPUT!E323,"AAAAAH/7fJY=")</f>
        <v>#VALUE!</v>
      </c>
      <c r="EV90" t="e">
        <f>AND(OUTPUT!F323,"AAAAAH/7fJc=")</f>
        <v>#VALUE!</v>
      </c>
      <c r="EW90" t="e">
        <f>AND(OUTPUT!G323,"AAAAAH/7fJg=")</f>
        <v>#VALUE!</v>
      </c>
      <c r="EX90" t="e">
        <f>AND(OUTPUT!I322,"AAAAAH/7fJk=")</f>
        <v>#VALUE!</v>
      </c>
      <c r="EY90" t="e">
        <f>AND(OUTPUT!#REF!,"AAAAAH/7fJo=")</f>
        <v>#REF!</v>
      </c>
      <c r="EZ90">
        <f>IF(OUTPUT!323:323,"AAAAAH/7fJs=",0)</f>
        <v>0</v>
      </c>
      <c r="FA90" t="e">
        <f>AND(OUTPUT!C324,"AAAAAH/7fJw=")</f>
        <v>#VALUE!</v>
      </c>
      <c r="FB90" t="e">
        <f>AND(OUTPUT!D323,"AAAAAH/7fJ0=")</f>
        <v>#VALUE!</v>
      </c>
      <c r="FC90" t="e">
        <f>AND(OUTPUT!E324,"AAAAAH/7fJ4=")</f>
        <v>#VALUE!</v>
      </c>
      <c r="FD90" t="e">
        <f>AND(OUTPUT!F324,"AAAAAH/7fJ8=")</f>
        <v>#VALUE!</v>
      </c>
      <c r="FE90" t="e">
        <f>AND(OUTPUT!G324,"AAAAAH/7fKA=")</f>
        <v>#VALUE!</v>
      </c>
      <c r="FF90" t="e">
        <f>AND(OUTPUT!I323,"AAAAAH/7fKE=")</f>
        <v>#VALUE!</v>
      </c>
      <c r="FG90" t="e">
        <f>AND(OUTPUT!#REF!,"AAAAAH/7fKI=")</f>
        <v>#REF!</v>
      </c>
      <c r="FH90">
        <f>IF(OUTPUT!324:324,"AAAAAH/7fKM=",0)</f>
        <v>0</v>
      </c>
      <c r="FI90" t="e">
        <f>AND(OUTPUT!C325,"AAAAAH/7fKQ=")</f>
        <v>#VALUE!</v>
      </c>
      <c r="FJ90" t="e">
        <f>AND(OUTPUT!D324,"AAAAAH/7fKU=")</f>
        <v>#VALUE!</v>
      </c>
      <c r="FK90" t="e">
        <f>AND(OUTPUT!E325,"AAAAAH/7fKY=")</f>
        <v>#VALUE!</v>
      </c>
      <c r="FL90" t="e">
        <f>AND(OUTPUT!F325,"AAAAAH/7fKc=")</f>
        <v>#VALUE!</v>
      </c>
      <c r="FM90" t="e">
        <f>AND(OUTPUT!G325,"AAAAAH/7fKg=")</f>
        <v>#VALUE!</v>
      </c>
      <c r="FN90" t="e">
        <f>AND(OUTPUT!I324,"AAAAAH/7fKk=")</f>
        <v>#VALUE!</v>
      </c>
      <c r="FO90" t="e">
        <f>AND(OUTPUT!#REF!,"AAAAAH/7fKo=")</f>
        <v>#REF!</v>
      </c>
      <c r="FP90">
        <f>IF(OUTPUT!325:325,"AAAAAH/7fKs=",0)</f>
        <v>0</v>
      </c>
      <c r="FQ90" t="e">
        <f>AND(OUTPUT!C326,"AAAAAH/7fKw=")</f>
        <v>#VALUE!</v>
      </c>
      <c r="FR90" t="e">
        <f>AND(OUTPUT!D325,"AAAAAH/7fK0=")</f>
        <v>#VALUE!</v>
      </c>
      <c r="FS90" t="e">
        <f>AND(OUTPUT!E326,"AAAAAH/7fK4=")</f>
        <v>#VALUE!</v>
      </c>
      <c r="FT90" t="e">
        <f>AND(OUTPUT!F326,"AAAAAH/7fK8=")</f>
        <v>#VALUE!</v>
      </c>
      <c r="FU90" t="e">
        <f>AND(OUTPUT!G326,"AAAAAH/7fLA=")</f>
        <v>#VALUE!</v>
      </c>
      <c r="FV90" t="e">
        <f>AND(OUTPUT!I325,"AAAAAH/7fLE=")</f>
        <v>#VALUE!</v>
      </c>
      <c r="FW90" t="e">
        <f>AND(OUTPUT!#REF!,"AAAAAH/7fLI=")</f>
        <v>#REF!</v>
      </c>
      <c r="FX90">
        <f>IF(OUTPUT!326:326,"AAAAAH/7fLM=",0)</f>
        <v>0</v>
      </c>
      <c r="FY90" t="e">
        <f>AND(OUTPUT!C327,"AAAAAH/7fLQ=")</f>
        <v>#VALUE!</v>
      </c>
      <c r="FZ90" t="e">
        <f>AND(OUTPUT!D326,"AAAAAH/7fLU=")</f>
        <v>#VALUE!</v>
      </c>
      <c r="GA90" t="e">
        <f>AND(OUTPUT!E327,"AAAAAH/7fLY=")</f>
        <v>#VALUE!</v>
      </c>
      <c r="GB90" t="e">
        <f>AND(OUTPUT!F327,"AAAAAH/7fLc=")</f>
        <v>#VALUE!</v>
      </c>
      <c r="GC90" t="e">
        <f>AND(OUTPUT!G327,"AAAAAH/7fLg=")</f>
        <v>#VALUE!</v>
      </c>
      <c r="GD90" t="e">
        <f>AND(OUTPUT!I326,"AAAAAH/7fLk=")</f>
        <v>#VALUE!</v>
      </c>
      <c r="GE90" t="e">
        <f>AND(OUTPUT!#REF!,"AAAAAH/7fLo=")</f>
        <v>#REF!</v>
      </c>
      <c r="GF90">
        <f>IF(OUTPUT!327:327,"AAAAAH/7fLs=",0)</f>
        <v>0</v>
      </c>
      <c r="GG90" t="e">
        <f>AND(OUTPUT!C328,"AAAAAH/7fLw=")</f>
        <v>#VALUE!</v>
      </c>
      <c r="GH90" t="e">
        <f>AND(OUTPUT!D327,"AAAAAH/7fL0=")</f>
        <v>#VALUE!</v>
      </c>
      <c r="GI90" t="e">
        <f>AND(OUTPUT!E328,"AAAAAH/7fL4=")</f>
        <v>#VALUE!</v>
      </c>
      <c r="GJ90" t="e">
        <f>AND(OUTPUT!F328,"AAAAAH/7fL8=")</f>
        <v>#VALUE!</v>
      </c>
      <c r="GK90" t="e">
        <f>AND(OUTPUT!G328,"AAAAAH/7fMA=")</f>
        <v>#VALUE!</v>
      </c>
      <c r="GL90" t="e">
        <f>AND(OUTPUT!I327,"AAAAAH/7fME=")</f>
        <v>#VALUE!</v>
      </c>
      <c r="GM90" t="e">
        <f>AND(OUTPUT!#REF!,"AAAAAH/7fMI=")</f>
        <v>#REF!</v>
      </c>
      <c r="GN90">
        <f>IF(OUTPUT!328:328,"AAAAAH/7fMM=",0)</f>
        <v>0</v>
      </c>
      <c r="GO90" t="e">
        <f>AND(OUTPUT!C329,"AAAAAH/7fMQ=")</f>
        <v>#VALUE!</v>
      </c>
      <c r="GP90" t="e">
        <f>AND(OUTPUT!D328,"AAAAAH/7fMU=")</f>
        <v>#VALUE!</v>
      </c>
      <c r="GQ90" t="e">
        <f>AND(OUTPUT!E329,"AAAAAH/7fMY=")</f>
        <v>#VALUE!</v>
      </c>
      <c r="GR90" t="e">
        <f>AND(OUTPUT!F329,"AAAAAH/7fMc=")</f>
        <v>#VALUE!</v>
      </c>
      <c r="GS90" t="e">
        <f>AND(OUTPUT!G329,"AAAAAH/7fMg=")</f>
        <v>#VALUE!</v>
      </c>
      <c r="GT90" t="e">
        <f>AND(OUTPUT!I328,"AAAAAH/7fMk=")</f>
        <v>#VALUE!</v>
      </c>
      <c r="GU90" t="e">
        <f>AND(OUTPUT!#REF!,"AAAAAH/7fMo=")</f>
        <v>#REF!</v>
      </c>
      <c r="GV90">
        <f>IF(OUTPUT!329:329,"AAAAAH/7fMs=",0)</f>
        <v>0</v>
      </c>
      <c r="GW90" t="e">
        <f>AND(OUTPUT!C330,"AAAAAH/7fMw=")</f>
        <v>#VALUE!</v>
      </c>
      <c r="GX90" t="e">
        <f>AND(OUTPUT!D329,"AAAAAH/7fM0=")</f>
        <v>#VALUE!</v>
      </c>
      <c r="GY90" t="e">
        <f>AND(OUTPUT!E330,"AAAAAH/7fM4=")</f>
        <v>#VALUE!</v>
      </c>
      <c r="GZ90" t="e">
        <f>AND(OUTPUT!F330,"AAAAAH/7fM8=")</f>
        <v>#VALUE!</v>
      </c>
      <c r="HA90" t="e">
        <f>AND(OUTPUT!G330,"AAAAAH/7fNA=")</f>
        <v>#VALUE!</v>
      </c>
      <c r="HB90" t="e">
        <f>AND(OUTPUT!I329,"AAAAAH/7fNE=")</f>
        <v>#VALUE!</v>
      </c>
      <c r="HC90" t="e">
        <f>AND(OUTPUT!#REF!,"AAAAAH/7fNI=")</f>
        <v>#REF!</v>
      </c>
      <c r="HD90">
        <f>IF(OUTPUT!330:330,"AAAAAH/7fNM=",0)</f>
        <v>0</v>
      </c>
      <c r="HE90" t="e">
        <f>AND(OUTPUT!C331,"AAAAAH/7fNQ=")</f>
        <v>#VALUE!</v>
      </c>
      <c r="HF90" t="e">
        <f>AND(OUTPUT!D330,"AAAAAH/7fNU=")</f>
        <v>#VALUE!</v>
      </c>
      <c r="HG90" t="e">
        <f>AND(OUTPUT!E331,"AAAAAH/7fNY=")</f>
        <v>#VALUE!</v>
      </c>
      <c r="HH90" t="e">
        <f>AND(OUTPUT!F331,"AAAAAH/7fNc=")</f>
        <v>#VALUE!</v>
      </c>
      <c r="HI90" t="e">
        <f>AND(OUTPUT!G331,"AAAAAH/7fNg=")</f>
        <v>#VALUE!</v>
      </c>
      <c r="HJ90" t="e">
        <f>AND(OUTPUT!I330,"AAAAAH/7fNk=")</f>
        <v>#VALUE!</v>
      </c>
      <c r="HK90" t="e">
        <f>AND(OUTPUT!#REF!,"AAAAAH/7fNo=")</f>
        <v>#REF!</v>
      </c>
      <c r="HL90">
        <f>IF(OUTPUT!331:331,"AAAAAH/7fNs=",0)</f>
        <v>0</v>
      </c>
      <c r="HM90" t="e">
        <f>AND(OUTPUT!C332,"AAAAAH/7fNw=")</f>
        <v>#VALUE!</v>
      </c>
      <c r="HN90" t="e">
        <f>AND(OUTPUT!D331,"AAAAAH/7fN0=")</f>
        <v>#VALUE!</v>
      </c>
      <c r="HO90" t="e">
        <f>AND(OUTPUT!E332,"AAAAAH/7fN4=")</f>
        <v>#VALUE!</v>
      </c>
      <c r="HP90" t="e">
        <f>AND(OUTPUT!F332,"AAAAAH/7fN8=")</f>
        <v>#VALUE!</v>
      </c>
      <c r="HQ90" t="e">
        <f>AND(OUTPUT!G332,"AAAAAH/7fOA=")</f>
        <v>#VALUE!</v>
      </c>
      <c r="HR90" t="e">
        <f>AND(OUTPUT!I331,"AAAAAH/7fOE=")</f>
        <v>#VALUE!</v>
      </c>
      <c r="HS90" t="e">
        <f>AND(OUTPUT!#REF!,"AAAAAH/7fOI=")</f>
        <v>#REF!</v>
      </c>
      <c r="HT90">
        <f>IF(OUTPUT!332:332,"AAAAAH/7fOM=",0)</f>
        <v>0</v>
      </c>
      <c r="HU90" t="e">
        <f>AND(OUTPUT!C333,"AAAAAH/7fOQ=")</f>
        <v>#VALUE!</v>
      </c>
      <c r="HV90" t="e">
        <f>AND(OUTPUT!D332,"AAAAAH/7fOU=")</f>
        <v>#VALUE!</v>
      </c>
      <c r="HW90" t="e">
        <f>AND(OUTPUT!E333,"AAAAAH/7fOY=")</f>
        <v>#VALUE!</v>
      </c>
      <c r="HX90" t="e">
        <f>AND(OUTPUT!F333,"AAAAAH/7fOc=")</f>
        <v>#VALUE!</v>
      </c>
      <c r="HY90" t="e">
        <f>AND(OUTPUT!G333,"AAAAAH/7fOg=")</f>
        <v>#VALUE!</v>
      </c>
      <c r="HZ90" t="e">
        <f>AND(OUTPUT!I332,"AAAAAH/7fOk=")</f>
        <v>#VALUE!</v>
      </c>
      <c r="IA90" t="e">
        <f>AND(OUTPUT!#REF!,"AAAAAH/7fOo=")</f>
        <v>#REF!</v>
      </c>
      <c r="IB90">
        <f>IF(OUTPUT!333:333,"AAAAAH/7fOs=",0)</f>
        <v>0</v>
      </c>
      <c r="IC90" t="e">
        <f>AND(OUTPUT!C334,"AAAAAH/7fOw=")</f>
        <v>#VALUE!</v>
      </c>
      <c r="ID90" t="e">
        <f>AND(OUTPUT!D333,"AAAAAH/7fO0=")</f>
        <v>#VALUE!</v>
      </c>
      <c r="IE90" t="e">
        <f>AND(OUTPUT!E334,"AAAAAH/7fO4=")</f>
        <v>#VALUE!</v>
      </c>
      <c r="IF90" t="e">
        <f>AND(OUTPUT!F334,"AAAAAH/7fO8=")</f>
        <v>#VALUE!</v>
      </c>
      <c r="IG90" t="e">
        <f>AND(OUTPUT!G334,"AAAAAH/7fPA=")</f>
        <v>#VALUE!</v>
      </c>
      <c r="IH90" t="e">
        <f>AND(OUTPUT!I333,"AAAAAH/7fPE=")</f>
        <v>#VALUE!</v>
      </c>
      <c r="II90" t="e">
        <f>AND(OUTPUT!#REF!,"AAAAAH/7fPI=")</f>
        <v>#REF!</v>
      </c>
      <c r="IJ90">
        <f>IF(OUTPUT!334:334,"AAAAAH/7fPM=",0)</f>
        <v>0</v>
      </c>
      <c r="IK90" t="e">
        <f>AND(OUTPUT!C335,"AAAAAH/7fPQ=")</f>
        <v>#VALUE!</v>
      </c>
      <c r="IL90" t="e">
        <f>AND(OUTPUT!D334,"AAAAAH/7fPU=")</f>
        <v>#VALUE!</v>
      </c>
      <c r="IM90" t="e">
        <f>AND(OUTPUT!E335,"AAAAAH/7fPY=")</f>
        <v>#VALUE!</v>
      </c>
      <c r="IN90" t="e">
        <f>AND(OUTPUT!F335,"AAAAAH/7fPc=")</f>
        <v>#VALUE!</v>
      </c>
      <c r="IO90" t="e">
        <f>AND(OUTPUT!G335,"AAAAAH/7fPg=")</f>
        <v>#VALUE!</v>
      </c>
      <c r="IP90" t="e">
        <f>AND(OUTPUT!I334,"AAAAAH/7fPk=")</f>
        <v>#VALUE!</v>
      </c>
      <c r="IQ90" t="e">
        <f>AND(OUTPUT!#REF!,"AAAAAH/7fPo=")</f>
        <v>#REF!</v>
      </c>
      <c r="IR90">
        <f>IF(OUTPUT!335:335,"AAAAAH/7fPs=",0)</f>
        <v>0</v>
      </c>
      <c r="IS90" t="e">
        <f>AND(OUTPUT!C336,"AAAAAH/7fPw=")</f>
        <v>#VALUE!</v>
      </c>
      <c r="IT90" t="e">
        <f>AND(OUTPUT!D335,"AAAAAH/7fP0=")</f>
        <v>#VALUE!</v>
      </c>
      <c r="IU90" t="e">
        <f>AND(OUTPUT!E336,"AAAAAH/7fP4=")</f>
        <v>#VALUE!</v>
      </c>
      <c r="IV90" t="e">
        <f>AND(OUTPUT!F336,"AAAAAH/7fP8=")</f>
        <v>#VALUE!</v>
      </c>
    </row>
    <row r="91" spans="1:256" x14ac:dyDescent="0.2">
      <c r="A91" t="e">
        <f>AND(OUTPUT!G336,"AAAAAF9YdwA=")</f>
        <v>#VALUE!</v>
      </c>
      <c r="B91" t="e">
        <f>AND(OUTPUT!I335,"AAAAAF9YdwE=")</f>
        <v>#VALUE!</v>
      </c>
      <c r="C91" t="e">
        <f>AND(OUTPUT!#REF!,"AAAAAF9YdwI=")</f>
        <v>#REF!</v>
      </c>
      <c r="D91">
        <f>IF(OUTPUT!336:336,"AAAAAF9YdwM=",0)</f>
        <v>0</v>
      </c>
      <c r="E91" t="e">
        <f>AND(OUTPUT!C337,"AAAAAF9YdwQ=")</f>
        <v>#VALUE!</v>
      </c>
      <c r="F91" t="e">
        <f>AND(OUTPUT!D336,"AAAAAF9YdwU=")</f>
        <v>#VALUE!</v>
      </c>
      <c r="G91" t="e">
        <f>AND(OUTPUT!E337,"AAAAAF9YdwY=")</f>
        <v>#VALUE!</v>
      </c>
      <c r="H91" t="e">
        <f>AND(OUTPUT!F337,"AAAAAF9Ydwc=")</f>
        <v>#VALUE!</v>
      </c>
      <c r="I91" t="e">
        <f>AND(OUTPUT!G337,"AAAAAF9Ydwg=")</f>
        <v>#VALUE!</v>
      </c>
      <c r="J91" t="e">
        <f>AND(OUTPUT!I336,"AAAAAF9Ydwk=")</f>
        <v>#VALUE!</v>
      </c>
      <c r="K91" t="e">
        <f>AND(OUTPUT!#REF!,"AAAAAF9Ydwo=")</f>
        <v>#REF!</v>
      </c>
      <c r="L91">
        <f>IF(OUTPUT!337:337,"AAAAAF9Ydws=",0)</f>
        <v>0</v>
      </c>
      <c r="M91" t="e">
        <f>AND(OUTPUT!C338,"AAAAAF9Ydww=")</f>
        <v>#VALUE!</v>
      </c>
      <c r="N91" t="e">
        <f>AND(OUTPUT!D337,"AAAAAF9Ydw0=")</f>
        <v>#VALUE!</v>
      </c>
      <c r="O91" t="e">
        <f>AND(OUTPUT!E338,"AAAAAF9Ydw4=")</f>
        <v>#VALUE!</v>
      </c>
      <c r="P91" t="e">
        <f>AND(OUTPUT!F338,"AAAAAF9Ydw8=")</f>
        <v>#VALUE!</v>
      </c>
      <c r="Q91" t="e">
        <f>AND(OUTPUT!G338,"AAAAAF9YdxA=")</f>
        <v>#VALUE!</v>
      </c>
      <c r="R91" t="e">
        <f>AND(OUTPUT!I337,"AAAAAF9YdxE=")</f>
        <v>#VALUE!</v>
      </c>
      <c r="S91" t="e">
        <f>AND(OUTPUT!#REF!,"AAAAAF9YdxI=")</f>
        <v>#REF!</v>
      </c>
      <c r="T91">
        <f>IF(OUTPUT!338:338,"AAAAAF9YdxM=",0)</f>
        <v>0</v>
      </c>
      <c r="U91" t="e">
        <f>AND(OUTPUT!C339,"AAAAAF9YdxQ=")</f>
        <v>#VALUE!</v>
      </c>
      <c r="V91" t="e">
        <f>AND(OUTPUT!D338,"AAAAAF9YdxU=")</f>
        <v>#VALUE!</v>
      </c>
      <c r="W91" t="e">
        <f>AND(OUTPUT!E339,"AAAAAF9YdxY=")</f>
        <v>#VALUE!</v>
      </c>
      <c r="X91" t="e">
        <f>AND(OUTPUT!F339,"AAAAAF9Ydxc=")</f>
        <v>#VALUE!</v>
      </c>
      <c r="Y91" t="e">
        <f>AND(OUTPUT!G339,"AAAAAF9Ydxg=")</f>
        <v>#VALUE!</v>
      </c>
      <c r="Z91" t="e">
        <f>AND(OUTPUT!I338,"AAAAAF9Ydxk=")</f>
        <v>#VALUE!</v>
      </c>
      <c r="AA91" t="e">
        <f>AND(OUTPUT!#REF!,"AAAAAF9Ydxo=")</f>
        <v>#REF!</v>
      </c>
      <c r="AB91" t="s">
        <v>24</v>
      </c>
    </row>
    <row r="92" spans="1:256" x14ac:dyDescent="0.2">
      <c r="A92" t="e">
        <f>AND(INPUT!C89,"AAAAAFl8/gA=")</f>
        <v>#VALUE!</v>
      </c>
      <c r="B92" t="s">
        <v>25</v>
      </c>
    </row>
    <row r="93" spans="1:256" x14ac:dyDescent="0.2">
      <c r="A93" t="e">
        <f>AND(OUTPUT!#REF!,"AAAAAH8/2QA=")</f>
        <v>#REF!</v>
      </c>
      <c r="B93" t="e">
        <f>AND(OUTPUT!#REF!,"AAAAAH8/2QE=")</f>
        <v>#REF!</v>
      </c>
      <c r="C93" t="e">
        <f>AND(OUTPUT!#REF!,"AAAAAH8/2QI=")</f>
        <v>#REF!</v>
      </c>
      <c r="D93" t="e">
        <f>AND(OUTPUT!#REF!,"AAAAAH8/2QM=")</f>
        <v>#REF!</v>
      </c>
      <c r="E93" t="e">
        <f>AND(OUTPUT!#REF!,"AAAAAH8/2QQ=")</f>
        <v>#REF!</v>
      </c>
      <c r="F93" t="e">
        <f>AND(OUTPUT!#REF!,"AAAAAH8/2QU=")</f>
        <v>#REF!</v>
      </c>
      <c r="G93" t="e">
        <f>AND(OUTPUT!J304,"AAAAAH8/2QY=")</f>
        <v>#VALUE!</v>
      </c>
      <c r="H93" t="e">
        <f>AND(OUTPUT!K304,"AAAAAH8/2Qc=")</f>
        <v>#VALUE!</v>
      </c>
      <c r="I93" t="e">
        <f>AND(OUTPUT!#REF!,"AAAAAH8/2Qg=")</f>
        <v>#REF!</v>
      </c>
      <c r="J93" t="e">
        <f>AND(OUTPUT!#REF!,"AAAAAH8/2Qk=")</f>
        <v>#REF!</v>
      </c>
      <c r="K93" t="e">
        <f>AND(OUTPUT!#REF!,"AAAAAH8/2Qo=")</f>
        <v>#REF!</v>
      </c>
      <c r="L93" t="e">
        <f>AND(OUTPUT!#REF!,"AAAAAH8/2Qs=")</f>
        <v>#REF!</v>
      </c>
      <c r="M93" t="e">
        <f>AND(OUTPUT!#REF!,"AAAAAH8/2Qw=")</f>
        <v>#REF!</v>
      </c>
      <c r="N93" t="e">
        <f>AND(OUTPUT!#REF!,"AAAAAH8/2Q0=")</f>
        <v>#REF!</v>
      </c>
      <c r="O93" t="e">
        <f>AND(OUTPUT!#REF!,"AAAAAH8/2Q4=")</f>
        <v>#REF!</v>
      </c>
      <c r="P93" t="e">
        <f>AND(OUTPUT!#REF!,"AAAAAH8/2Q8=")</f>
        <v>#REF!</v>
      </c>
      <c r="Q93" t="e">
        <f>AND(OUTPUT!J305,"AAAAAH8/2RA=")</f>
        <v>#VALUE!</v>
      </c>
      <c r="R93" t="e">
        <f>AND(OUTPUT!K305,"AAAAAH8/2RE=")</f>
        <v>#VALUE!</v>
      </c>
      <c r="S93" t="e">
        <f>AND(OUTPUT!#REF!,"AAAAAH8/2RI=")</f>
        <v>#REF!</v>
      </c>
      <c r="T93" t="e">
        <f>AND(OUTPUT!#REF!,"AAAAAH8/2RM=")</f>
        <v>#REF!</v>
      </c>
      <c r="U93" t="e">
        <f>AND(OUTPUT!#REF!,"AAAAAH8/2RQ=")</f>
        <v>#REF!</v>
      </c>
      <c r="V93" t="e">
        <f>AND(OUTPUT!#REF!,"AAAAAH8/2RU=")</f>
        <v>#REF!</v>
      </c>
      <c r="W93" t="e">
        <f>AND(OUTPUT!#REF!,"AAAAAH8/2RY=")</f>
        <v>#REF!</v>
      </c>
      <c r="X93" t="e">
        <f>AND(OUTPUT!#REF!,"AAAAAH8/2Rc=")</f>
        <v>#REF!</v>
      </c>
      <c r="Y93" t="e">
        <f>AND(OUTPUT!#REF!,"AAAAAH8/2Rg=")</f>
        <v>#REF!</v>
      </c>
      <c r="Z93" t="e">
        <f>AND(OUTPUT!#REF!,"AAAAAH8/2Rk=")</f>
        <v>#REF!</v>
      </c>
      <c r="AA93" t="e">
        <f>AND(OUTPUT!J306,"AAAAAH8/2Ro=")</f>
        <v>#VALUE!</v>
      </c>
      <c r="AB93" t="e">
        <f>AND(OUTPUT!K306,"AAAAAH8/2Rs=")</f>
        <v>#VALUE!</v>
      </c>
      <c r="AC93" t="e">
        <f>AND(OUTPUT!#REF!,"AAAAAH8/2Rw=")</f>
        <v>#REF!</v>
      </c>
      <c r="AD93" t="e">
        <f>AND(OUTPUT!#REF!,"AAAAAH8/2R0=")</f>
        <v>#REF!</v>
      </c>
      <c r="AE93" t="e">
        <f>AND(OUTPUT!#REF!,"AAAAAH8/2R4=")</f>
        <v>#REF!</v>
      </c>
      <c r="AF93" t="e">
        <f>AND(OUTPUT!#REF!,"AAAAAH8/2R8=")</f>
        <v>#REF!</v>
      </c>
      <c r="AG93" t="e">
        <f>AND(OUTPUT!#REF!,"AAAAAH8/2SA=")</f>
        <v>#REF!</v>
      </c>
      <c r="AH93" t="e">
        <f>AND(OUTPUT!#REF!,"AAAAAH8/2SE=")</f>
        <v>#REF!</v>
      </c>
      <c r="AI93" t="e">
        <f>AND(OUTPUT!#REF!,"AAAAAH8/2SI=")</f>
        <v>#REF!</v>
      </c>
      <c r="AJ93" t="e">
        <f>AND(OUTPUT!#REF!,"AAAAAH8/2SM=")</f>
        <v>#REF!</v>
      </c>
      <c r="AK93" t="e">
        <f>AND(OUTPUT!J307,"AAAAAH8/2SQ=")</f>
        <v>#VALUE!</v>
      </c>
      <c r="AL93" t="e">
        <f>AND(OUTPUT!K307,"AAAAAH8/2SU=")</f>
        <v>#VALUE!</v>
      </c>
      <c r="AM93" t="e">
        <f>AND(OUTPUT!#REF!,"AAAAAH8/2SY=")</f>
        <v>#REF!</v>
      </c>
      <c r="AN93" t="e">
        <f>AND(OUTPUT!#REF!,"AAAAAH8/2Sc=")</f>
        <v>#REF!</v>
      </c>
      <c r="AO93" t="e">
        <f>AND(OUTPUT!#REF!,"AAAAAH8/2Sg=")</f>
        <v>#REF!</v>
      </c>
      <c r="AP93" t="e">
        <f>AND(OUTPUT!#REF!,"AAAAAH8/2Sk=")</f>
        <v>#REF!</v>
      </c>
      <c r="AQ93" t="e">
        <f>AND(OUTPUT!#REF!,"AAAAAH8/2So=")</f>
        <v>#REF!</v>
      </c>
      <c r="AR93" t="e">
        <f>AND(OUTPUT!#REF!,"AAAAAH8/2Ss=")</f>
        <v>#REF!</v>
      </c>
      <c r="AS93" t="e">
        <f>AND(OUTPUT!#REF!,"AAAAAH8/2Sw=")</f>
        <v>#REF!</v>
      </c>
      <c r="AT93" t="e">
        <f>AND(OUTPUT!#REF!,"AAAAAH8/2S0=")</f>
        <v>#REF!</v>
      </c>
      <c r="AU93" t="e">
        <f>AND(OUTPUT!J308,"AAAAAH8/2S4=")</f>
        <v>#VALUE!</v>
      </c>
      <c r="AV93" t="e">
        <f>AND(OUTPUT!K308,"AAAAAH8/2S8=")</f>
        <v>#VALUE!</v>
      </c>
      <c r="AW93" t="e">
        <f>AND(OUTPUT!#REF!,"AAAAAH8/2TA=")</f>
        <v>#REF!</v>
      </c>
      <c r="AX93" t="e">
        <f>AND(OUTPUT!#REF!,"AAAAAH8/2TE=")</f>
        <v>#REF!</v>
      </c>
      <c r="AY93" t="e">
        <f>AND(OUTPUT!#REF!,"AAAAAH8/2TI=")</f>
        <v>#REF!</v>
      </c>
      <c r="AZ93" t="e">
        <f>AND(OUTPUT!#REF!,"AAAAAH8/2TM=")</f>
        <v>#REF!</v>
      </c>
      <c r="BA93" t="e">
        <f>AND(OUTPUT!#REF!,"AAAAAH8/2TQ=")</f>
        <v>#REF!</v>
      </c>
      <c r="BB93" t="e">
        <f>AND(OUTPUT!#REF!,"AAAAAH8/2TU=")</f>
        <v>#REF!</v>
      </c>
      <c r="BC93" t="e">
        <f>AND(OUTPUT!#REF!,"AAAAAH8/2TY=")</f>
        <v>#REF!</v>
      </c>
      <c r="BD93" t="e">
        <f>AND(OUTPUT!#REF!,"AAAAAH8/2Tc=")</f>
        <v>#REF!</v>
      </c>
      <c r="BE93" t="e">
        <f>AND(OUTPUT!J309,"AAAAAH8/2Tg=")</f>
        <v>#VALUE!</v>
      </c>
      <c r="BF93" t="e">
        <f>AND(OUTPUT!K309,"AAAAAH8/2Tk=")</f>
        <v>#VALUE!</v>
      </c>
      <c r="BG93" t="e">
        <f>AND(OUTPUT!#REF!,"AAAAAH8/2To=")</f>
        <v>#REF!</v>
      </c>
      <c r="BH93" t="e">
        <f>AND(OUTPUT!#REF!,"AAAAAH8/2Ts=")</f>
        <v>#REF!</v>
      </c>
      <c r="BI93" t="e">
        <f>AND(OUTPUT!#REF!,"AAAAAH8/2Tw=")</f>
        <v>#REF!</v>
      </c>
      <c r="BJ93" t="e">
        <f>AND(OUTPUT!#REF!,"AAAAAH8/2T0=")</f>
        <v>#REF!</v>
      </c>
      <c r="BK93" t="e">
        <f>AND(OUTPUT!#REF!,"AAAAAH8/2T4=")</f>
        <v>#REF!</v>
      </c>
      <c r="BL93" t="e">
        <f>AND(OUTPUT!#REF!,"AAAAAH8/2T8=")</f>
        <v>#REF!</v>
      </c>
      <c r="BM93" t="e">
        <f>AND(OUTPUT!#REF!,"AAAAAH8/2UA=")</f>
        <v>#REF!</v>
      </c>
      <c r="BN93" t="e">
        <f>AND(OUTPUT!#REF!,"AAAAAH8/2UE=")</f>
        <v>#REF!</v>
      </c>
      <c r="BO93" t="e">
        <f>AND(OUTPUT!J310,"AAAAAH8/2UI=")</f>
        <v>#VALUE!</v>
      </c>
      <c r="BP93" t="e">
        <f>AND(OUTPUT!K310,"AAAAAH8/2UM=")</f>
        <v>#VALUE!</v>
      </c>
      <c r="BQ93" t="e">
        <f>AND(OUTPUT!#REF!,"AAAAAH8/2UQ=")</f>
        <v>#REF!</v>
      </c>
      <c r="BR93" t="e">
        <f>AND(OUTPUT!#REF!,"AAAAAH8/2UU=")</f>
        <v>#REF!</v>
      </c>
      <c r="BS93" t="e">
        <f>AND(OUTPUT!#REF!,"AAAAAH8/2UY=")</f>
        <v>#REF!</v>
      </c>
      <c r="BT93" t="e">
        <f>AND(OUTPUT!#REF!,"AAAAAH8/2Uc=")</f>
        <v>#REF!</v>
      </c>
      <c r="BU93" t="e">
        <f>AND(OUTPUT!#REF!,"AAAAAH8/2Ug=")</f>
        <v>#REF!</v>
      </c>
      <c r="BV93" t="e">
        <f>AND(OUTPUT!#REF!,"AAAAAH8/2Uk=")</f>
        <v>#REF!</v>
      </c>
      <c r="BW93" t="e">
        <f>AND(OUTPUT!#REF!,"AAAAAH8/2Uo=")</f>
        <v>#REF!</v>
      </c>
      <c r="BX93" t="e">
        <f>AND(OUTPUT!#REF!,"AAAAAH8/2Us=")</f>
        <v>#REF!</v>
      </c>
      <c r="BY93" t="e">
        <f>AND(OUTPUT!J311,"AAAAAH8/2Uw=")</f>
        <v>#VALUE!</v>
      </c>
      <c r="BZ93" t="e">
        <f>AND(OUTPUT!K311,"AAAAAH8/2U0=")</f>
        <v>#VALUE!</v>
      </c>
      <c r="CA93" t="e">
        <f>AND(OUTPUT!#REF!,"AAAAAH8/2U4=")</f>
        <v>#REF!</v>
      </c>
      <c r="CB93" t="e">
        <f>AND(OUTPUT!#REF!,"AAAAAH8/2U8=")</f>
        <v>#REF!</v>
      </c>
      <c r="CC93" t="e">
        <f>AND(OUTPUT!#REF!,"AAAAAH8/2VA=")</f>
        <v>#REF!</v>
      </c>
      <c r="CD93" t="e">
        <f>AND(OUTPUT!#REF!,"AAAAAH8/2VE=")</f>
        <v>#REF!</v>
      </c>
      <c r="CE93" t="e">
        <f>AND(OUTPUT!#REF!,"AAAAAH8/2VI=")</f>
        <v>#REF!</v>
      </c>
      <c r="CF93" t="e">
        <f>AND(OUTPUT!#REF!,"AAAAAH8/2VM=")</f>
        <v>#REF!</v>
      </c>
      <c r="CG93" t="e">
        <f>AND(OUTPUT!#REF!,"AAAAAH8/2VQ=")</f>
        <v>#REF!</v>
      </c>
      <c r="CH93" t="e">
        <f>AND(OUTPUT!#REF!,"AAAAAH8/2VU=")</f>
        <v>#REF!</v>
      </c>
      <c r="CI93" t="e">
        <f>AND(OUTPUT!J312,"AAAAAH8/2VY=")</f>
        <v>#VALUE!</v>
      </c>
      <c r="CJ93" t="e">
        <f>AND(OUTPUT!K312,"AAAAAH8/2Vc=")</f>
        <v>#VALUE!</v>
      </c>
      <c r="CK93" t="e">
        <f>AND(OUTPUT!#REF!,"AAAAAH8/2Vg=")</f>
        <v>#REF!</v>
      </c>
      <c r="CL93" t="e">
        <f>AND(OUTPUT!#REF!,"AAAAAH8/2Vk=")</f>
        <v>#REF!</v>
      </c>
      <c r="CM93" t="e">
        <f>AND(OUTPUT!#REF!,"AAAAAH8/2Vo=")</f>
        <v>#REF!</v>
      </c>
      <c r="CN93" t="e">
        <f>AND(OUTPUT!#REF!,"AAAAAH8/2Vs=")</f>
        <v>#REF!</v>
      </c>
      <c r="CO93" t="e">
        <f>AND(OUTPUT!#REF!,"AAAAAH8/2Vw=")</f>
        <v>#REF!</v>
      </c>
      <c r="CP93" t="e">
        <f>AND(OUTPUT!#REF!,"AAAAAH8/2V0=")</f>
        <v>#REF!</v>
      </c>
      <c r="CQ93" t="e">
        <f>AND(OUTPUT!#REF!,"AAAAAH8/2V4=")</f>
        <v>#REF!</v>
      </c>
      <c r="CR93" t="e">
        <f>AND(OUTPUT!#REF!,"AAAAAH8/2V8=")</f>
        <v>#REF!</v>
      </c>
      <c r="CS93" t="e">
        <f>AND(OUTPUT!J313,"AAAAAH8/2WA=")</f>
        <v>#VALUE!</v>
      </c>
      <c r="CT93" t="e">
        <f>AND(OUTPUT!K313,"AAAAAH8/2WE=")</f>
        <v>#VALUE!</v>
      </c>
      <c r="CU93" t="e">
        <f>AND(OUTPUT!#REF!,"AAAAAH8/2WI=")</f>
        <v>#REF!</v>
      </c>
      <c r="CV93" t="e">
        <f>AND(OUTPUT!#REF!,"AAAAAH8/2WM=")</f>
        <v>#REF!</v>
      </c>
      <c r="CW93" t="e">
        <f>AND(OUTPUT!#REF!,"AAAAAH8/2WQ=")</f>
        <v>#REF!</v>
      </c>
      <c r="CX93" t="e">
        <f>AND(OUTPUT!#REF!,"AAAAAH8/2WU=")</f>
        <v>#REF!</v>
      </c>
      <c r="CY93" t="e">
        <f>AND(OUTPUT!#REF!,"AAAAAH8/2WY=")</f>
        <v>#REF!</v>
      </c>
      <c r="CZ93" t="e">
        <f>AND(OUTPUT!#REF!,"AAAAAH8/2Wc=")</f>
        <v>#REF!</v>
      </c>
      <c r="DA93" t="e">
        <f>AND(OUTPUT!#REF!,"AAAAAH8/2Wg=")</f>
        <v>#REF!</v>
      </c>
      <c r="DB93" t="e">
        <f>AND(OUTPUT!#REF!,"AAAAAH8/2Wk=")</f>
        <v>#REF!</v>
      </c>
      <c r="DC93" t="e">
        <f>AND(OUTPUT!J314,"AAAAAH8/2Wo=")</f>
        <v>#VALUE!</v>
      </c>
      <c r="DD93" t="e">
        <f>AND(OUTPUT!K314,"AAAAAH8/2Ws=")</f>
        <v>#VALUE!</v>
      </c>
      <c r="DE93" t="e">
        <f>AND(OUTPUT!#REF!,"AAAAAH8/2Ww=")</f>
        <v>#REF!</v>
      </c>
      <c r="DF93" t="e">
        <f>AND(OUTPUT!#REF!,"AAAAAH8/2W0=")</f>
        <v>#REF!</v>
      </c>
      <c r="DG93" t="e">
        <f>AND(OUTPUT!#REF!,"AAAAAH8/2W4=")</f>
        <v>#REF!</v>
      </c>
      <c r="DH93" t="e">
        <f>AND(OUTPUT!#REF!,"AAAAAH8/2W8=")</f>
        <v>#REF!</v>
      </c>
      <c r="DI93" t="e">
        <f>AND(OUTPUT!#REF!,"AAAAAH8/2XA=")</f>
        <v>#REF!</v>
      </c>
      <c r="DJ93" t="e">
        <f>AND(OUTPUT!#REF!,"AAAAAH8/2XE=")</f>
        <v>#REF!</v>
      </c>
      <c r="DK93" t="e">
        <f>AND(OUTPUT!#REF!,"AAAAAH8/2XI=")</f>
        <v>#REF!</v>
      </c>
      <c r="DL93" t="e">
        <f>AND(OUTPUT!#REF!,"AAAAAH8/2XM=")</f>
        <v>#REF!</v>
      </c>
      <c r="DM93" t="e">
        <f>AND(OUTPUT!J315,"AAAAAH8/2XQ=")</f>
        <v>#VALUE!</v>
      </c>
      <c r="DN93" t="e">
        <f>AND(OUTPUT!K315,"AAAAAH8/2XU=")</f>
        <v>#VALUE!</v>
      </c>
      <c r="DO93" t="e">
        <f>AND(OUTPUT!#REF!,"AAAAAH8/2XY=")</f>
        <v>#REF!</v>
      </c>
      <c r="DP93" t="e">
        <f>AND(OUTPUT!#REF!,"AAAAAH8/2Xc=")</f>
        <v>#REF!</v>
      </c>
      <c r="DQ93" t="e">
        <f>AND(OUTPUT!#REF!,"AAAAAH8/2Xg=")</f>
        <v>#REF!</v>
      </c>
      <c r="DR93" t="e">
        <f>AND(OUTPUT!#REF!,"AAAAAH8/2Xk=")</f>
        <v>#REF!</v>
      </c>
      <c r="DS93" t="e">
        <f>AND(OUTPUT!#REF!,"AAAAAH8/2Xo=")</f>
        <v>#REF!</v>
      </c>
      <c r="DT93" t="e">
        <f>AND(OUTPUT!#REF!,"AAAAAH8/2Xs=")</f>
        <v>#REF!</v>
      </c>
      <c r="DU93" t="e">
        <f>AND(OUTPUT!#REF!,"AAAAAH8/2Xw=")</f>
        <v>#REF!</v>
      </c>
      <c r="DV93" t="e">
        <f>AND(OUTPUT!#REF!,"AAAAAH8/2X0=")</f>
        <v>#REF!</v>
      </c>
      <c r="DW93" t="e">
        <f>AND(OUTPUT!J316,"AAAAAH8/2X4=")</f>
        <v>#VALUE!</v>
      </c>
      <c r="DX93" t="e">
        <f>AND(OUTPUT!K316,"AAAAAH8/2X8=")</f>
        <v>#VALUE!</v>
      </c>
      <c r="DY93" t="e">
        <f>AND(OUTPUT!#REF!,"AAAAAH8/2YA=")</f>
        <v>#REF!</v>
      </c>
      <c r="DZ93" t="e">
        <f>AND(OUTPUT!#REF!,"AAAAAH8/2YE=")</f>
        <v>#REF!</v>
      </c>
      <c r="EA93" t="e">
        <f>AND(OUTPUT!#REF!,"AAAAAH8/2YI=")</f>
        <v>#REF!</v>
      </c>
      <c r="EB93" t="e">
        <f>AND(OUTPUT!#REF!,"AAAAAH8/2YM=")</f>
        <v>#REF!</v>
      </c>
      <c r="EC93" t="e">
        <f>AND(OUTPUT!#REF!,"AAAAAH8/2YQ=")</f>
        <v>#REF!</v>
      </c>
      <c r="ED93" t="e">
        <f>AND(OUTPUT!#REF!,"AAAAAH8/2YU=")</f>
        <v>#REF!</v>
      </c>
      <c r="EE93" t="e">
        <f>AND(OUTPUT!#REF!,"AAAAAH8/2YY=")</f>
        <v>#REF!</v>
      </c>
      <c r="EF93" t="e">
        <f>AND(OUTPUT!#REF!,"AAAAAH8/2Yc=")</f>
        <v>#REF!</v>
      </c>
      <c r="EG93" t="e">
        <f>AND(OUTPUT!J317,"AAAAAH8/2Yg=")</f>
        <v>#VALUE!</v>
      </c>
      <c r="EH93" t="e">
        <f>AND(OUTPUT!K317,"AAAAAH8/2Yk=")</f>
        <v>#VALUE!</v>
      </c>
      <c r="EI93" t="e">
        <f>AND(OUTPUT!#REF!,"AAAAAH8/2Yo=")</f>
        <v>#REF!</v>
      </c>
      <c r="EJ93" t="e">
        <f>AND(OUTPUT!#REF!,"AAAAAH8/2Ys=")</f>
        <v>#REF!</v>
      </c>
      <c r="EK93" t="e">
        <f>AND(OUTPUT!#REF!,"AAAAAH8/2Yw=")</f>
        <v>#REF!</v>
      </c>
      <c r="EL93" t="e">
        <f>AND(OUTPUT!#REF!,"AAAAAH8/2Y0=")</f>
        <v>#REF!</v>
      </c>
      <c r="EM93" t="e">
        <f>AND(OUTPUT!#REF!,"AAAAAH8/2Y4=")</f>
        <v>#REF!</v>
      </c>
      <c r="EN93" t="e">
        <f>AND(OUTPUT!#REF!,"AAAAAH8/2Y8=")</f>
        <v>#REF!</v>
      </c>
      <c r="EO93" t="e">
        <f>AND(OUTPUT!#REF!,"AAAAAH8/2ZA=")</f>
        <v>#REF!</v>
      </c>
      <c r="EP93" t="e">
        <f>AND(OUTPUT!#REF!,"AAAAAH8/2ZE=")</f>
        <v>#REF!</v>
      </c>
      <c r="EQ93" t="e">
        <f>AND(OUTPUT!J318,"AAAAAH8/2ZI=")</f>
        <v>#VALUE!</v>
      </c>
      <c r="ER93" t="e">
        <f>AND(OUTPUT!K318,"AAAAAH8/2ZM=")</f>
        <v>#VALUE!</v>
      </c>
      <c r="ES93" t="e">
        <f>AND(OUTPUT!#REF!,"AAAAAH8/2ZQ=")</f>
        <v>#REF!</v>
      </c>
      <c r="ET93" t="e">
        <f>AND(OUTPUT!#REF!,"AAAAAH8/2ZU=")</f>
        <v>#REF!</v>
      </c>
      <c r="EU93" t="e">
        <f>AND(OUTPUT!#REF!,"AAAAAH8/2ZY=")</f>
        <v>#REF!</v>
      </c>
      <c r="EV93" t="e">
        <f>AND(OUTPUT!#REF!,"AAAAAH8/2Zc=")</f>
        <v>#REF!</v>
      </c>
      <c r="EW93" t="e">
        <f>AND(OUTPUT!#REF!,"AAAAAH8/2Zg=")</f>
        <v>#REF!</v>
      </c>
      <c r="EX93" t="e">
        <f>AND(OUTPUT!#REF!,"AAAAAH8/2Zk=")</f>
        <v>#REF!</v>
      </c>
      <c r="EY93" t="e">
        <f>AND(OUTPUT!#REF!,"AAAAAH8/2Zo=")</f>
        <v>#REF!</v>
      </c>
      <c r="EZ93" t="e">
        <f>AND(OUTPUT!#REF!,"AAAAAH8/2Zs=")</f>
        <v>#REF!</v>
      </c>
      <c r="FA93" t="e">
        <f>AND(OUTPUT!J320,"AAAAAH8/2Zw=")</f>
        <v>#VALUE!</v>
      </c>
      <c r="FB93" t="e">
        <f>AND(OUTPUT!K320,"AAAAAH8/2Z0=")</f>
        <v>#VALUE!</v>
      </c>
      <c r="FC93" t="e">
        <f>AND(OUTPUT!#REF!,"AAAAAH8/2Z4=")</f>
        <v>#REF!</v>
      </c>
      <c r="FD93" t="e">
        <f>AND(OUTPUT!#REF!,"AAAAAH8/2Z8=")</f>
        <v>#REF!</v>
      </c>
      <c r="FE93" t="e">
        <f>AND(OUTPUT!#REF!,"AAAAAH8/2aA=")</f>
        <v>#REF!</v>
      </c>
      <c r="FF93" t="e">
        <f>AND(OUTPUT!#REF!,"AAAAAH8/2aE=")</f>
        <v>#REF!</v>
      </c>
      <c r="FG93" t="e">
        <f>AND(OUTPUT!#REF!,"AAAAAH8/2aI=")</f>
        <v>#REF!</v>
      </c>
      <c r="FH93" t="e">
        <f>AND(OUTPUT!#REF!,"AAAAAH8/2aM=")</f>
        <v>#REF!</v>
      </c>
      <c r="FI93" t="e">
        <f>AND(OUTPUT!#REF!,"AAAAAH8/2aQ=")</f>
        <v>#REF!</v>
      </c>
      <c r="FJ93" t="e">
        <f>AND(OUTPUT!#REF!,"AAAAAH8/2aU=")</f>
        <v>#REF!</v>
      </c>
      <c r="FK93" t="e">
        <f>AND(OUTPUT!J321,"AAAAAH8/2aY=")</f>
        <v>#VALUE!</v>
      </c>
      <c r="FL93" t="e">
        <f>AND(OUTPUT!K321,"AAAAAH8/2ac=")</f>
        <v>#VALUE!</v>
      </c>
      <c r="FM93" t="e">
        <f>AND(OUTPUT!#REF!,"AAAAAH8/2ag=")</f>
        <v>#REF!</v>
      </c>
      <c r="FN93" t="e">
        <f>AND(OUTPUT!#REF!,"AAAAAH8/2ak=")</f>
        <v>#REF!</v>
      </c>
      <c r="FO93" t="e">
        <f>AND(OUTPUT!#REF!,"AAAAAH8/2ao=")</f>
        <v>#REF!</v>
      </c>
      <c r="FP93" t="e">
        <f>AND(OUTPUT!#REF!,"AAAAAH8/2as=")</f>
        <v>#REF!</v>
      </c>
      <c r="FQ93" t="e">
        <f>AND(OUTPUT!#REF!,"AAAAAH8/2aw=")</f>
        <v>#REF!</v>
      </c>
      <c r="FR93" t="e">
        <f>AND(OUTPUT!#REF!,"AAAAAH8/2a0=")</f>
        <v>#REF!</v>
      </c>
      <c r="FS93" t="e">
        <f>AND(OUTPUT!#REF!,"AAAAAH8/2a4=")</f>
        <v>#REF!</v>
      </c>
      <c r="FT93" t="e">
        <f>AND(OUTPUT!#REF!,"AAAAAH8/2a8=")</f>
        <v>#REF!</v>
      </c>
      <c r="FU93" t="e">
        <f>AND(OUTPUT!J322,"AAAAAH8/2bA=")</f>
        <v>#VALUE!</v>
      </c>
      <c r="FV93" t="e">
        <f>AND(OUTPUT!K322,"AAAAAH8/2bE=")</f>
        <v>#VALUE!</v>
      </c>
      <c r="FW93" t="e">
        <f>AND(OUTPUT!#REF!,"AAAAAH8/2bI=")</f>
        <v>#REF!</v>
      </c>
      <c r="FX93" t="e">
        <f>AND(OUTPUT!#REF!,"AAAAAH8/2bM=")</f>
        <v>#REF!</v>
      </c>
      <c r="FY93" t="e">
        <f>AND(OUTPUT!#REF!,"AAAAAH8/2bQ=")</f>
        <v>#REF!</v>
      </c>
      <c r="FZ93" t="e">
        <f>AND(OUTPUT!#REF!,"AAAAAH8/2bU=")</f>
        <v>#REF!</v>
      </c>
      <c r="GA93" t="e">
        <f>AND(OUTPUT!#REF!,"AAAAAH8/2bY=")</f>
        <v>#REF!</v>
      </c>
      <c r="GB93" t="e">
        <f>AND(OUTPUT!#REF!,"AAAAAH8/2bc=")</f>
        <v>#REF!</v>
      </c>
      <c r="GC93" t="e">
        <f>AND(OUTPUT!#REF!,"AAAAAH8/2bg=")</f>
        <v>#REF!</v>
      </c>
      <c r="GD93" t="e">
        <f>AND(OUTPUT!#REF!,"AAAAAH8/2bk=")</f>
        <v>#REF!</v>
      </c>
      <c r="GE93" t="e">
        <f>AND(OUTPUT!J323,"AAAAAH8/2bo=")</f>
        <v>#VALUE!</v>
      </c>
      <c r="GF93" t="e">
        <f>AND(OUTPUT!K323,"AAAAAH8/2bs=")</f>
        <v>#VALUE!</v>
      </c>
      <c r="GG93" t="e">
        <f>AND(OUTPUT!#REF!,"AAAAAH8/2bw=")</f>
        <v>#REF!</v>
      </c>
      <c r="GH93" t="e">
        <f>AND(OUTPUT!#REF!,"AAAAAH8/2b0=")</f>
        <v>#REF!</v>
      </c>
      <c r="GI93" t="e">
        <f>AND(OUTPUT!#REF!,"AAAAAH8/2b4=")</f>
        <v>#REF!</v>
      </c>
      <c r="GJ93" t="e">
        <f>AND(OUTPUT!#REF!,"AAAAAH8/2b8=")</f>
        <v>#REF!</v>
      </c>
      <c r="GK93" t="e">
        <f>AND(OUTPUT!#REF!,"AAAAAH8/2cA=")</f>
        <v>#REF!</v>
      </c>
      <c r="GL93" t="e">
        <f>AND(OUTPUT!#REF!,"AAAAAH8/2cE=")</f>
        <v>#REF!</v>
      </c>
      <c r="GM93" t="e">
        <f>AND(OUTPUT!#REF!,"AAAAAH8/2cI=")</f>
        <v>#REF!</v>
      </c>
      <c r="GN93" t="e">
        <f>AND(OUTPUT!#REF!,"AAAAAH8/2cM=")</f>
        <v>#REF!</v>
      </c>
      <c r="GO93" t="e">
        <f>AND(OUTPUT!J324,"AAAAAH8/2cQ=")</f>
        <v>#VALUE!</v>
      </c>
      <c r="GP93" t="e">
        <f>AND(OUTPUT!K324,"AAAAAH8/2cU=")</f>
        <v>#VALUE!</v>
      </c>
      <c r="GQ93" t="e">
        <f>AND(OUTPUT!#REF!,"AAAAAH8/2cY=")</f>
        <v>#REF!</v>
      </c>
      <c r="GR93" t="e">
        <f>AND(OUTPUT!#REF!,"AAAAAH8/2cc=")</f>
        <v>#REF!</v>
      </c>
      <c r="GS93" t="e">
        <f>AND(OUTPUT!#REF!,"AAAAAH8/2cg=")</f>
        <v>#REF!</v>
      </c>
      <c r="GT93" t="e">
        <f>AND(OUTPUT!#REF!,"AAAAAH8/2ck=")</f>
        <v>#REF!</v>
      </c>
      <c r="GU93" t="e">
        <f>AND(OUTPUT!#REF!,"AAAAAH8/2co=")</f>
        <v>#REF!</v>
      </c>
      <c r="GV93" t="e">
        <f>AND(OUTPUT!#REF!,"AAAAAH8/2cs=")</f>
        <v>#REF!</v>
      </c>
      <c r="GW93" t="e">
        <f>AND(OUTPUT!#REF!,"AAAAAH8/2cw=")</f>
        <v>#REF!</v>
      </c>
      <c r="GX93" t="e">
        <f>AND(OUTPUT!#REF!,"AAAAAH8/2c0=")</f>
        <v>#REF!</v>
      </c>
      <c r="GY93" t="e">
        <f>AND(OUTPUT!J325,"AAAAAH8/2c4=")</f>
        <v>#VALUE!</v>
      </c>
      <c r="GZ93" t="e">
        <f>AND(OUTPUT!K325,"AAAAAH8/2c8=")</f>
        <v>#VALUE!</v>
      </c>
      <c r="HA93" t="e">
        <f>AND(OUTPUT!#REF!,"AAAAAH8/2dA=")</f>
        <v>#REF!</v>
      </c>
      <c r="HB93" t="e">
        <f>AND(OUTPUT!#REF!,"AAAAAH8/2dE=")</f>
        <v>#REF!</v>
      </c>
      <c r="HC93" t="e">
        <f>AND(OUTPUT!#REF!,"AAAAAH8/2dI=")</f>
        <v>#REF!</v>
      </c>
      <c r="HD93" t="e">
        <f>AND(OUTPUT!#REF!,"AAAAAH8/2dM=")</f>
        <v>#REF!</v>
      </c>
      <c r="HE93" t="e">
        <f>AND(OUTPUT!#REF!,"AAAAAH8/2dQ=")</f>
        <v>#REF!</v>
      </c>
      <c r="HF93" t="e">
        <f>AND(OUTPUT!#REF!,"AAAAAH8/2dU=")</f>
        <v>#REF!</v>
      </c>
      <c r="HG93" t="e">
        <f>AND(OUTPUT!#REF!,"AAAAAH8/2dY=")</f>
        <v>#REF!</v>
      </c>
      <c r="HH93" t="e">
        <f>AND(OUTPUT!#REF!,"AAAAAH8/2dc=")</f>
        <v>#REF!</v>
      </c>
      <c r="HI93" t="e">
        <f>AND(OUTPUT!J326,"AAAAAH8/2dg=")</f>
        <v>#VALUE!</v>
      </c>
      <c r="HJ93" t="e">
        <f>AND(OUTPUT!K326,"AAAAAH8/2dk=")</f>
        <v>#VALUE!</v>
      </c>
      <c r="HK93" t="e">
        <f>AND(OUTPUT!#REF!,"AAAAAH8/2do=")</f>
        <v>#REF!</v>
      </c>
      <c r="HL93" t="e">
        <f>AND(OUTPUT!#REF!,"AAAAAH8/2ds=")</f>
        <v>#REF!</v>
      </c>
      <c r="HM93" t="e">
        <f>AND(OUTPUT!#REF!,"AAAAAH8/2dw=")</f>
        <v>#REF!</v>
      </c>
      <c r="HN93" t="e">
        <f>AND(OUTPUT!#REF!,"AAAAAH8/2d0=")</f>
        <v>#REF!</v>
      </c>
      <c r="HO93" t="e">
        <f>AND(OUTPUT!#REF!,"AAAAAH8/2d4=")</f>
        <v>#REF!</v>
      </c>
      <c r="HP93" t="e">
        <f>AND(OUTPUT!#REF!,"AAAAAH8/2d8=")</f>
        <v>#REF!</v>
      </c>
      <c r="HQ93" t="e">
        <f>AND(OUTPUT!#REF!,"AAAAAH8/2eA=")</f>
        <v>#REF!</v>
      </c>
      <c r="HR93" t="e">
        <f>AND(OUTPUT!#REF!,"AAAAAH8/2eE=")</f>
        <v>#REF!</v>
      </c>
      <c r="HS93" t="e">
        <f>AND(OUTPUT!J327,"AAAAAH8/2eI=")</f>
        <v>#VALUE!</v>
      </c>
      <c r="HT93" t="e">
        <f>AND(OUTPUT!K327,"AAAAAH8/2eM=")</f>
        <v>#VALUE!</v>
      </c>
      <c r="HU93" t="e">
        <f>AND(OUTPUT!#REF!,"AAAAAH8/2eQ=")</f>
        <v>#REF!</v>
      </c>
      <c r="HV93" t="e">
        <f>AND(OUTPUT!#REF!,"AAAAAH8/2eU=")</f>
        <v>#REF!</v>
      </c>
      <c r="HW93" t="e">
        <f>AND(OUTPUT!#REF!,"AAAAAH8/2eY=")</f>
        <v>#REF!</v>
      </c>
      <c r="HX93" t="e">
        <f>AND(OUTPUT!#REF!,"AAAAAH8/2ec=")</f>
        <v>#REF!</v>
      </c>
      <c r="HY93" t="e">
        <f>AND(OUTPUT!#REF!,"AAAAAH8/2eg=")</f>
        <v>#REF!</v>
      </c>
      <c r="HZ93" t="e">
        <f>AND(OUTPUT!#REF!,"AAAAAH8/2ek=")</f>
        <v>#REF!</v>
      </c>
      <c r="IA93" t="e">
        <f>AND(OUTPUT!#REF!,"AAAAAH8/2eo=")</f>
        <v>#REF!</v>
      </c>
      <c r="IB93" t="e">
        <f>AND(OUTPUT!#REF!,"AAAAAH8/2es=")</f>
        <v>#REF!</v>
      </c>
      <c r="IC93" t="e">
        <f>AND(OUTPUT!J328,"AAAAAH8/2ew=")</f>
        <v>#VALUE!</v>
      </c>
      <c r="ID93" t="e">
        <f>AND(OUTPUT!K328,"AAAAAH8/2e0=")</f>
        <v>#VALUE!</v>
      </c>
      <c r="IE93" t="e">
        <f>AND(OUTPUT!#REF!,"AAAAAH8/2e4=")</f>
        <v>#REF!</v>
      </c>
      <c r="IF93" t="e">
        <f>AND(OUTPUT!#REF!,"AAAAAH8/2e8=")</f>
        <v>#REF!</v>
      </c>
      <c r="IG93" t="e">
        <f>AND(OUTPUT!#REF!,"AAAAAH8/2fA=")</f>
        <v>#REF!</v>
      </c>
      <c r="IH93" t="e">
        <f>AND(OUTPUT!#REF!,"AAAAAH8/2fE=")</f>
        <v>#REF!</v>
      </c>
      <c r="II93" t="e">
        <f>AND(OUTPUT!#REF!,"AAAAAH8/2fI=")</f>
        <v>#REF!</v>
      </c>
      <c r="IJ93" t="e">
        <f>AND(OUTPUT!#REF!,"AAAAAH8/2fM=")</f>
        <v>#REF!</v>
      </c>
      <c r="IK93" t="e">
        <f>AND(OUTPUT!#REF!,"AAAAAH8/2fQ=")</f>
        <v>#REF!</v>
      </c>
      <c r="IL93" t="e">
        <f>AND(OUTPUT!#REF!,"AAAAAH8/2fU=")</f>
        <v>#REF!</v>
      </c>
      <c r="IM93" t="e">
        <f>AND(OUTPUT!J329,"AAAAAH8/2fY=")</f>
        <v>#VALUE!</v>
      </c>
      <c r="IN93" t="e">
        <f>AND(OUTPUT!K329,"AAAAAH8/2fc=")</f>
        <v>#VALUE!</v>
      </c>
      <c r="IO93" t="e">
        <f>AND(OUTPUT!#REF!,"AAAAAH8/2fg=")</f>
        <v>#REF!</v>
      </c>
      <c r="IP93" t="e">
        <f>AND(OUTPUT!#REF!,"AAAAAH8/2fk=")</f>
        <v>#REF!</v>
      </c>
      <c r="IQ93" t="e">
        <f>AND(OUTPUT!#REF!,"AAAAAH8/2fo=")</f>
        <v>#REF!</v>
      </c>
      <c r="IR93" t="e">
        <f>AND(OUTPUT!#REF!,"AAAAAH8/2fs=")</f>
        <v>#REF!</v>
      </c>
      <c r="IS93" t="e">
        <f>AND(OUTPUT!#REF!,"AAAAAH8/2fw=")</f>
        <v>#REF!</v>
      </c>
      <c r="IT93" t="e">
        <f>AND(OUTPUT!#REF!,"AAAAAH8/2f0=")</f>
        <v>#REF!</v>
      </c>
      <c r="IU93" t="e">
        <f>AND(OUTPUT!#REF!,"AAAAAH8/2f4=")</f>
        <v>#REF!</v>
      </c>
      <c r="IV93" t="e">
        <f>AND(OUTPUT!#REF!,"AAAAAH8/2f8=")</f>
        <v>#REF!</v>
      </c>
    </row>
    <row r="94" spans="1:256" x14ac:dyDescent="0.2">
      <c r="A94" t="e">
        <f>AND(OUTPUT!J330,"AAAAAH+7PwA=")</f>
        <v>#VALUE!</v>
      </c>
      <c r="B94" t="e">
        <f>AND(OUTPUT!K330,"AAAAAH+7PwE=")</f>
        <v>#VALUE!</v>
      </c>
      <c r="C94" t="e">
        <f>AND(OUTPUT!#REF!,"AAAAAH+7PwI=")</f>
        <v>#REF!</v>
      </c>
      <c r="D94" t="e">
        <f>AND(OUTPUT!#REF!,"AAAAAH+7PwM=")</f>
        <v>#REF!</v>
      </c>
      <c r="E94" t="e">
        <f>AND(OUTPUT!#REF!,"AAAAAH+7PwQ=")</f>
        <v>#REF!</v>
      </c>
      <c r="F94" t="e">
        <f>AND(OUTPUT!#REF!,"AAAAAH+7PwU=")</f>
        <v>#REF!</v>
      </c>
      <c r="G94" t="e">
        <f>AND(OUTPUT!#REF!,"AAAAAH+7PwY=")</f>
        <v>#REF!</v>
      </c>
      <c r="H94" t="e">
        <f>AND(OUTPUT!#REF!,"AAAAAH+7Pwc=")</f>
        <v>#REF!</v>
      </c>
      <c r="I94" t="e">
        <f>AND(OUTPUT!#REF!,"AAAAAH+7Pwg=")</f>
        <v>#REF!</v>
      </c>
      <c r="J94" t="e">
        <f>AND(OUTPUT!#REF!,"AAAAAH+7Pwk=")</f>
        <v>#REF!</v>
      </c>
      <c r="K94" t="e">
        <f>AND(OUTPUT!J331,"AAAAAH+7Pwo=")</f>
        <v>#VALUE!</v>
      </c>
      <c r="L94" t="e">
        <f>AND(OUTPUT!K331,"AAAAAH+7Pws=")</f>
        <v>#VALUE!</v>
      </c>
      <c r="M94" t="e">
        <f>AND(OUTPUT!#REF!,"AAAAAH+7Pww=")</f>
        <v>#REF!</v>
      </c>
      <c r="N94" t="e">
        <f>AND(OUTPUT!#REF!,"AAAAAH+7Pw0=")</f>
        <v>#REF!</v>
      </c>
      <c r="O94" t="e">
        <f>AND(OUTPUT!#REF!,"AAAAAH+7Pw4=")</f>
        <v>#REF!</v>
      </c>
      <c r="P94" t="e">
        <f>AND(OUTPUT!#REF!,"AAAAAH+7Pw8=")</f>
        <v>#REF!</v>
      </c>
      <c r="Q94" t="e">
        <f>AND(OUTPUT!#REF!,"AAAAAH+7PxA=")</f>
        <v>#REF!</v>
      </c>
      <c r="R94" t="e">
        <f>AND(OUTPUT!#REF!,"AAAAAH+7PxE=")</f>
        <v>#REF!</v>
      </c>
      <c r="S94" t="e">
        <f>AND(OUTPUT!#REF!,"AAAAAH+7PxI=")</f>
        <v>#REF!</v>
      </c>
      <c r="T94" t="e">
        <f>AND(OUTPUT!#REF!,"AAAAAH+7PxM=")</f>
        <v>#REF!</v>
      </c>
      <c r="U94" t="e">
        <f>AND(OUTPUT!J332,"AAAAAH+7PxQ=")</f>
        <v>#VALUE!</v>
      </c>
      <c r="V94" t="e">
        <f>AND(OUTPUT!K332,"AAAAAH+7PxU=")</f>
        <v>#VALUE!</v>
      </c>
      <c r="W94" t="e">
        <f>AND(OUTPUT!#REF!,"AAAAAH+7PxY=")</f>
        <v>#REF!</v>
      </c>
      <c r="X94" t="e">
        <f>AND(OUTPUT!#REF!,"AAAAAH+7Pxc=")</f>
        <v>#REF!</v>
      </c>
      <c r="Y94" t="e">
        <f>AND(OUTPUT!#REF!,"AAAAAH+7Pxg=")</f>
        <v>#REF!</v>
      </c>
      <c r="Z94" t="e">
        <f>AND(OUTPUT!#REF!,"AAAAAH+7Pxk=")</f>
        <v>#REF!</v>
      </c>
      <c r="AA94" t="e">
        <f>AND(OUTPUT!#REF!,"AAAAAH+7Pxo=")</f>
        <v>#REF!</v>
      </c>
      <c r="AB94" t="e">
        <f>AND(OUTPUT!#REF!,"AAAAAH+7Pxs=")</f>
        <v>#REF!</v>
      </c>
      <c r="AC94" t="e">
        <f>AND(OUTPUT!#REF!,"AAAAAH+7Pxw=")</f>
        <v>#REF!</v>
      </c>
      <c r="AD94" t="e">
        <f>AND(OUTPUT!#REF!,"AAAAAH+7Px0=")</f>
        <v>#REF!</v>
      </c>
      <c r="AE94" t="e">
        <f>AND(OUTPUT!J333,"AAAAAH+7Px4=")</f>
        <v>#VALUE!</v>
      </c>
      <c r="AF94" t="e">
        <f>AND(OUTPUT!K333,"AAAAAH+7Px8=")</f>
        <v>#VALUE!</v>
      </c>
      <c r="AG94" t="e">
        <f>AND(OUTPUT!#REF!,"AAAAAH+7PyA=")</f>
        <v>#REF!</v>
      </c>
      <c r="AH94" t="e">
        <f>AND(OUTPUT!#REF!,"AAAAAH+7PyE=")</f>
        <v>#REF!</v>
      </c>
      <c r="AI94" t="e">
        <f>AND(OUTPUT!#REF!,"AAAAAH+7PyI=")</f>
        <v>#REF!</v>
      </c>
      <c r="AJ94" t="e">
        <f>AND(OUTPUT!#REF!,"AAAAAH+7PyM=")</f>
        <v>#REF!</v>
      </c>
      <c r="AK94" t="e">
        <f>AND(OUTPUT!#REF!,"AAAAAH+7PyQ=")</f>
        <v>#REF!</v>
      </c>
      <c r="AL94" t="e">
        <f>AND(OUTPUT!#REF!,"AAAAAH+7PyU=")</f>
        <v>#REF!</v>
      </c>
      <c r="AM94" t="e">
        <f>AND(OUTPUT!#REF!,"AAAAAH+7PyY=")</f>
        <v>#REF!</v>
      </c>
      <c r="AN94" t="e">
        <f>AND(OUTPUT!#REF!,"AAAAAH+7Pyc=")</f>
        <v>#REF!</v>
      </c>
      <c r="AO94" t="e">
        <f>AND(OUTPUT!J334,"AAAAAH+7Pyg=")</f>
        <v>#VALUE!</v>
      </c>
      <c r="AP94" t="e">
        <f>AND(OUTPUT!K334,"AAAAAH+7Pyk=")</f>
        <v>#VALUE!</v>
      </c>
      <c r="AQ94" t="e">
        <f>AND(OUTPUT!#REF!,"AAAAAH+7Pyo=")</f>
        <v>#REF!</v>
      </c>
      <c r="AR94" t="e">
        <f>AND(OUTPUT!#REF!,"AAAAAH+7Pys=")</f>
        <v>#REF!</v>
      </c>
      <c r="AS94" t="e">
        <f>AND(OUTPUT!#REF!,"AAAAAH+7Pyw=")</f>
        <v>#REF!</v>
      </c>
      <c r="AT94" t="e">
        <f>AND(OUTPUT!#REF!,"AAAAAH+7Py0=")</f>
        <v>#REF!</v>
      </c>
      <c r="AU94" t="e">
        <f>AND(OUTPUT!#REF!,"AAAAAH+7Py4=")</f>
        <v>#REF!</v>
      </c>
      <c r="AV94" t="e">
        <f>AND(OUTPUT!#REF!,"AAAAAH+7Py8=")</f>
        <v>#REF!</v>
      </c>
      <c r="AW94" t="e">
        <f>AND(OUTPUT!#REF!,"AAAAAH+7PzA=")</f>
        <v>#REF!</v>
      </c>
      <c r="AX94" t="e">
        <f>AND(OUTPUT!#REF!,"AAAAAH+7PzE=")</f>
        <v>#REF!</v>
      </c>
      <c r="AY94" t="e">
        <f>AND(OUTPUT!J335,"AAAAAH+7PzI=")</f>
        <v>#VALUE!</v>
      </c>
      <c r="AZ94" t="e">
        <f>AND(OUTPUT!K335,"AAAAAH+7PzM=")</f>
        <v>#VALUE!</v>
      </c>
      <c r="BA94" t="e">
        <f>AND(OUTPUT!#REF!,"AAAAAH+7PzQ=")</f>
        <v>#REF!</v>
      </c>
      <c r="BB94" t="e">
        <f>AND(OUTPUT!#REF!,"AAAAAH+7PzU=")</f>
        <v>#REF!</v>
      </c>
      <c r="BC94" t="e">
        <f>AND(OUTPUT!#REF!,"AAAAAH+7PzY=")</f>
        <v>#REF!</v>
      </c>
      <c r="BD94" t="e">
        <f>AND(OUTPUT!#REF!,"AAAAAH+7Pzc=")</f>
        <v>#REF!</v>
      </c>
      <c r="BE94" t="e">
        <f>AND(OUTPUT!#REF!,"AAAAAH+7Pzg=")</f>
        <v>#REF!</v>
      </c>
      <c r="BF94" t="e">
        <f>AND(OUTPUT!#REF!,"AAAAAH+7Pzk=")</f>
        <v>#REF!</v>
      </c>
      <c r="BG94" t="e">
        <f>AND(OUTPUT!#REF!,"AAAAAH+7Pzo=")</f>
        <v>#REF!</v>
      </c>
      <c r="BH94" t="e">
        <f>AND(OUTPUT!#REF!,"AAAAAH+7Pzs=")</f>
        <v>#REF!</v>
      </c>
      <c r="BI94" t="e">
        <f>AND(OUTPUT!J336,"AAAAAH+7Pzw=")</f>
        <v>#VALUE!</v>
      </c>
      <c r="BJ94" t="e">
        <f>AND(OUTPUT!K336,"AAAAAH+7Pz0=")</f>
        <v>#VALUE!</v>
      </c>
      <c r="BK94" t="e">
        <f>AND(OUTPUT!#REF!,"AAAAAH+7Pz4=")</f>
        <v>#REF!</v>
      </c>
      <c r="BL94" t="e">
        <f>AND(OUTPUT!#REF!,"AAAAAH+7Pz8=")</f>
        <v>#REF!</v>
      </c>
      <c r="BM94" t="e">
        <f>AND(OUTPUT!#REF!,"AAAAAH+7P0A=")</f>
        <v>#REF!</v>
      </c>
      <c r="BN94" t="e">
        <f>AND(OUTPUT!#REF!,"AAAAAH+7P0E=")</f>
        <v>#REF!</v>
      </c>
      <c r="BO94" t="e">
        <f>AND(OUTPUT!#REF!,"AAAAAH+7P0I=")</f>
        <v>#REF!</v>
      </c>
      <c r="BP94" t="e">
        <f>AND(OUTPUT!#REF!,"AAAAAH+7P0M=")</f>
        <v>#REF!</v>
      </c>
      <c r="BQ94" t="e">
        <f>AND(OUTPUT!#REF!,"AAAAAH+7P0Q=")</f>
        <v>#REF!</v>
      </c>
      <c r="BR94" t="e">
        <f>AND(OUTPUT!#REF!,"AAAAAH+7P0U=")</f>
        <v>#REF!</v>
      </c>
      <c r="BS94" t="e">
        <f>AND(OUTPUT!J337,"AAAAAH+7P0Y=")</f>
        <v>#VALUE!</v>
      </c>
      <c r="BT94" t="e">
        <f>AND(OUTPUT!K337,"AAAAAH+7P0c=")</f>
        <v>#VALUE!</v>
      </c>
      <c r="BU94" t="e">
        <f>AND(OUTPUT!#REF!,"AAAAAH+7P0g=")</f>
        <v>#REF!</v>
      </c>
      <c r="BV94" t="e">
        <f>AND(OUTPUT!#REF!,"AAAAAH+7P0k=")</f>
        <v>#REF!</v>
      </c>
      <c r="BW94" t="e">
        <f>AND(OUTPUT!#REF!,"AAAAAH+7P0o=")</f>
        <v>#REF!</v>
      </c>
      <c r="BX94" t="e">
        <f>AND(OUTPUT!#REF!,"AAAAAH+7P0s=")</f>
        <v>#REF!</v>
      </c>
      <c r="BY94" t="e">
        <f>AND(OUTPUT!#REF!,"AAAAAH+7P0w=")</f>
        <v>#REF!</v>
      </c>
      <c r="BZ94" t="e">
        <f>AND(OUTPUT!#REF!,"AAAAAH+7P00=")</f>
        <v>#REF!</v>
      </c>
      <c r="CA94" t="e">
        <f>AND(OUTPUT!#REF!,"AAAAAH+7P04=")</f>
        <v>#REF!</v>
      </c>
      <c r="CB94" t="e">
        <f>AND(OUTPUT!#REF!,"AAAAAH+7P08=")</f>
        <v>#REF!</v>
      </c>
      <c r="CC94" t="e">
        <f>AND(OUTPUT!J338,"AAAAAH+7P1A=")</f>
        <v>#VALUE!</v>
      </c>
      <c r="CD94" t="e">
        <f>AND(OUTPUT!K338,"AAAAAH+7P1E=")</f>
        <v>#VALUE!</v>
      </c>
      <c r="CE94" t="e">
        <f>AND(OUTPUT!#REF!,"AAAAAH+7P1I=")</f>
        <v>#REF!</v>
      </c>
      <c r="CF94" t="e">
        <f>AND(OUTPUT!#REF!,"AAAAAH+7P1M=")</f>
        <v>#REF!</v>
      </c>
      <c r="CG94">
        <f>IF(OUTPUT!339:339,"AAAAAH+7P1Q=",0)</f>
        <v>0</v>
      </c>
      <c r="CH94" t="e">
        <f>AND(OUTPUT!C340,"AAAAAH+7P1U=")</f>
        <v>#VALUE!</v>
      </c>
      <c r="CI94" t="e">
        <f>AND(OUTPUT!D339,"AAAAAH+7P1Y=")</f>
        <v>#VALUE!</v>
      </c>
      <c r="CJ94" t="e">
        <f>AND(OUTPUT!E340,"AAAAAH+7P1c=")</f>
        <v>#VALUE!</v>
      </c>
      <c r="CK94" t="e">
        <f>AND(OUTPUT!F340,"AAAAAH+7P1g=")</f>
        <v>#VALUE!</v>
      </c>
      <c r="CL94" t="e">
        <f>AND(OUTPUT!G340,"AAAAAH+7P1k=")</f>
        <v>#VALUE!</v>
      </c>
      <c r="CM94">
        <f>IF(OUTPUT!341:341,"AAAAAH+7P1o=",0)</f>
        <v>0</v>
      </c>
      <c r="CN94" t="e">
        <f>AND(OUTPUT!C342,"AAAAAH+7P1s=")</f>
        <v>#VALUE!</v>
      </c>
      <c r="CO94" t="e">
        <f>AND(OUTPUT!D340,"AAAAAH+7P1w=")</f>
        <v>#VALUE!</v>
      </c>
      <c r="CP94" t="e">
        <f>AND(OUTPUT!E342,"AAAAAH+7P10=")</f>
        <v>#VALUE!</v>
      </c>
      <c r="CQ94" t="e">
        <f>AND(OUTPUT!F342,"AAAAAH+7P14=")</f>
        <v>#VALUE!</v>
      </c>
      <c r="CR94" t="e">
        <f>AND(OUTPUT!G342,"AAAAAH+7P18=")</f>
        <v>#VALUE!</v>
      </c>
      <c r="CS94">
        <f>IF(OUTPUT!342:342,"AAAAAH+7P2A=",0)</f>
        <v>0</v>
      </c>
      <c r="CT94" t="e">
        <f>AND(OUTPUT!C343,"AAAAAH+7P2E=")</f>
        <v>#VALUE!</v>
      </c>
      <c r="CU94" t="e">
        <f>AND(OUTPUT!D342,"AAAAAH+7P2I=")</f>
        <v>#VALUE!</v>
      </c>
      <c r="CV94" t="e">
        <f>AND(OUTPUT!E343,"AAAAAH+7P2M=")</f>
        <v>#VALUE!</v>
      </c>
      <c r="CW94" t="e">
        <f>AND(OUTPUT!F343,"AAAAAH+7P2Q=")</f>
        <v>#VALUE!</v>
      </c>
      <c r="CX94" t="e">
        <f>AND(OUTPUT!G343,"AAAAAH+7P2U=")</f>
        <v>#VALUE!</v>
      </c>
      <c r="CY94">
        <f>IF(OUTPUT!343:343,"AAAAAH+7P2Y=",0)</f>
        <v>0</v>
      </c>
      <c r="CZ94" t="e">
        <f>AND(OUTPUT!C344,"AAAAAH+7P2c=")</f>
        <v>#VALUE!</v>
      </c>
      <c r="DA94" t="e">
        <f>AND(OUTPUT!D343,"AAAAAH+7P2g=")</f>
        <v>#VALUE!</v>
      </c>
      <c r="DB94" t="e">
        <f>AND(OUTPUT!E344,"AAAAAH+7P2k=")</f>
        <v>#VALUE!</v>
      </c>
      <c r="DC94" t="e">
        <f>AND(OUTPUT!F344,"AAAAAH+7P2o=")</f>
        <v>#VALUE!</v>
      </c>
      <c r="DD94" t="e">
        <f>AND(OUTPUT!G344,"AAAAAH+7P2s=")</f>
        <v>#VALUE!</v>
      </c>
      <c r="DE94">
        <f>IF(OUTPUT!344:344,"AAAAAH+7P2w=",0)</f>
        <v>0</v>
      </c>
      <c r="DF94" t="e">
        <f>AND(OUTPUT!C345,"AAAAAH+7P20=")</f>
        <v>#VALUE!</v>
      </c>
      <c r="DG94" t="e">
        <f>AND(OUTPUT!D344,"AAAAAH+7P24=")</f>
        <v>#VALUE!</v>
      </c>
      <c r="DH94" t="e">
        <f>AND(OUTPUT!E345,"AAAAAH+7P28=")</f>
        <v>#VALUE!</v>
      </c>
      <c r="DI94" t="e">
        <f>AND(OUTPUT!F345,"AAAAAH+7P3A=")</f>
        <v>#VALUE!</v>
      </c>
      <c r="DJ94" t="e">
        <f>AND(OUTPUT!G345,"AAAAAH+7P3E=")</f>
        <v>#VALUE!</v>
      </c>
      <c r="DK94">
        <f>IF(OUTPUT!345:345,"AAAAAH+7P3I=",0)</f>
        <v>0</v>
      </c>
      <c r="DL94" t="e">
        <f>AND(OUTPUT!C346,"AAAAAH+7P3M=")</f>
        <v>#VALUE!</v>
      </c>
      <c r="DM94" t="e">
        <f>AND(OUTPUT!D345,"AAAAAH+7P3Q=")</f>
        <v>#VALUE!</v>
      </c>
      <c r="DN94" t="e">
        <f>AND(OUTPUT!E346,"AAAAAH+7P3U=")</f>
        <v>#VALUE!</v>
      </c>
      <c r="DO94" t="e">
        <f>AND(OUTPUT!F346,"AAAAAH+7P3Y=")</f>
        <v>#VALUE!</v>
      </c>
      <c r="DP94" t="e">
        <f>AND(OUTPUT!G346,"AAAAAH+7P3c=")</f>
        <v>#VALUE!</v>
      </c>
      <c r="DQ94">
        <f>IF(OUTPUT!346:346,"AAAAAH+7P3g=",0)</f>
        <v>0</v>
      </c>
      <c r="DR94" t="e">
        <f>AND(OUTPUT!C347,"AAAAAH+7P3k=")</f>
        <v>#VALUE!</v>
      </c>
      <c r="DS94" t="e">
        <f>AND(OUTPUT!D346,"AAAAAH+7P3o=")</f>
        <v>#VALUE!</v>
      </c>
      <c r="DT94" t="e">
        <f>AND(OUTPUT!E347,"AAAAAH+7P3s=")</f>
        <v>#VALUE!</v>
      </c>
      <c r="DU94" t="e">
        <f>AND(OUTPUT!F347,"AAAAAH+7P3w=")</f>
        <v>#VALUE!</v>
      </c>
      <c r="DV94" t="e">
        <f>AND(OUTPUT!G347,"AAAAAH+7P30=")</f>
        <v>#VALUE!</v>
      </c>
      <c r="DW94">
        <f>IF(OUTPUT!347:347,"AAAAAH+7P34=",0)</f>
        <v>0</v>
      </c>
      <c r="DX94" t="e">
        <f>AND(OUTPUT!C348,"AAAAAH+7P38=")</f>
        <v>#VALUE!</v>
      </c>
      <c r="DY94" t="e">
        <f>AND(OUTPUT!D347,"AAAAAH+7P4A=")</f>
        <v>#VALUE!</v>
      </c>
      <c r="DZ94" t="e">
        <f>AND(OUTPUT!E348,"AAAAAH+7P4E=")</f>
        <v>#VALUE!</v>
      </c>
      <c r="EA94" t="e">
        <f>AND(OUTPUT!F348,"AAAAAH+7P4I=")</f>
        <v>#VALUE!</v>
      </c>
      <c r="EB94" t="e">
        <f>AND(OUTPUT!G348,"AAAAAH+7P4M=")</f>
        <v>#VALUE!</v>
      </c>
      <c r="EC94">
        <f>IF(OUTPUT!348:348,"AAAAAH+7P4Q=",0)</f>
        <v>0</v>
      </c>
      <c r="ED94" t="e">
        <f>AND(OUTPUT!C349,"AAAAAH+7P4U=")</f>
        <v>#VALUE!</v>
      </c>
      <c r="EE94" t="e">
        <f>AND(OUTPUT!D348,"AAAAAH+7P4Y=")</f>
        <v>#VALUE!</v>
      </c>
      <c r="EF94" t="e">
        <f>AND(OUTPUT!E349,"AAAAAH+7P4c=")</f>
        <v>#VALUE!</v>
      </c>
      <c r="EG94" t="e">
        <f>AND(OUTPUT!F349,"AAAAAH+7P4g=")</f>
        <v>#VALUE!</v>
      </c>
      <c r="EH94" t="e">
        <f>AND(OUTPUT!G349,"AAAAAH+7P4k=")</f>
        <v>#VALUE!</v>
      </c>
      <c r="EI94">
        <f>IF(OUTPUT!349:349,"AAAAAH+7P4o=",0)</f>
        <v>0</v>
      </c>
      <c r="EJ94" t="e">
        <f>AND(OUTPUT!C350,"AAAAAH+7P4s=")</f>
        <v>#VALUE!</v>
      </c>
      <c r="EK94" t="e">
        <f>AND(OUTPUT!D349,"AAAAAH+7P4w=")</f>
        <v>#VALUE!</v>
      </c>
      <c r="EL94" t="e">
        <f>AND(OUTPUT!E350,"AAAAAH+7P40=")</f>
        <v>#VALUE!</v>
      </c>
      <c r="EM94" t="e">
        <f>AND(OUTPUT!F350,"AAAAAH+7P44=")</f>
        <v>#VALUE!</v>
      </c>
      <c r="EN94" t="e">
        <f>AND(OUTPUT!G350,"AAAAAH+7P48=")</f>
        <v>#VALUE!</v>
      </c>
      <c r="EO94">
        <f>IF(OUTPUT!351:351,"AAAAAH+7P5A=",0)</f>
        <v>0</v>
      </c>
      <c r="EP94" t="e">
        <f>AND(OUTPUT!C352,"AAAAAH+7P5E=")</f>
        <v>#VALUE!</v>
      </c>
      <c r="EQ94" t="e">
        <f>AND(OUTPUT!D350,"AAAAAH+7P5I=")</f>
        <v>#VALUE!</v>
      </c>
      <c r="ER94" t="e">
        <f>AND(OUTPUT!E352,"AAAAAH+7P5M=")</f>
        <v>#VALUE!</v>
      </c>
      <c r="ES94" t="e">
        <f>AND(OUTPUT!F352,"AAAAAH+7P5Q=")</f>
        <v>#VALUE!</v>
      </c>
      <c r="ET94" t="e">
        <f>AND(OUTPUT!G352,"AAAAAH+7P5U=")</f>
        <v>#VALUE!</v>
      </c>
      <c r="EU94">
        <f>IF(OUTPUT!352:352,"AAAAAH+7P5Y=",0)</f>
        <v>0</v>
      </c>
      <c r="EV94" t="e">
        <f>AND(OUTPUT!C353,"AAAAAH+7P5c=")</f>
        <v>#VALUE!</v>
      </c>
      <c r="EW94" t="e">
        <f>AND(OUTPUT!D352,"AAAAAH+7P5g=")</f>
        <v>#VALUE!</v>
      </c>
      <c r="EX94" t="e">
        <f>AND(OUTPUT!E353,"AAAAAH+7P5k=")</f>
        <v>#VALUE!</v>
      </c>
      <c r="EY94" t="e">
        <f>AND(OUTPUT!F353,"AAAAAH+7P5o=")</f>
        <v>#VALUE!</v>
      </c>
      <c r="EZ94" t="e">
        <f>AND(OUTPUT!G353,"AAAAAH+7P5s=")</f>
        <v>#VALUE!</v>
      </c>
      <c r="FA94">
        <f>IF(OUTPUT!353:353,"AAAAAH+7P5w=",0)</f>
        <v>0</v>
      </c>
      <c r="FB94" t="e">
        <f>AND(OUTPUT!C354,"AAAAAH+7P50=")</f>
        <v>#VALUE!</v>
      </c>
      <c r="FC94" t="e">
        <f>AND(OUTPUT!D353,"AAAAAH+7P54=")</f>
        <v>#VALUE!</v>
      </c>
      <c r="FD94" t="e">
        <f>AND(OUTPUT!E354,"AAAAAH+7P58=")</f>
        <v>#VALUE!</v>
      </c>
      <c r="FE94" t="e">
        <f>AND(OUTPUT!F354,"AAAAAH+7P6A=")</f>
        <v>#VALUE!</v>
      </c>
      <c r="FF94" t="e">
        <f>AND(OUTPUT!G354,"AAAAAH+7P6E=")</f>
        <v>#VALUE!</v>
      </c>
      <c r="FG94">
        <f>IF(OUTPUT!354:354,"AAAAAH+7P6I=",0)</f>
        <v>0</v>
      </c>
      <c r="FH94" t="e">
        <f>AND(OUTPUT!C355,"AAAAAH+7P6M=")</f>
        <v>#VALUE!</v>
      </c>
      <c r="FI94" t="e">
        <f>AND(OUTPUT!D354,"AAAAAH+7P6Q=")</f>
        <v>#VALUE!</v>
      </c>
      <c r="FJ94" t="e">
        <f>AND(OUTPUT!E355,"AAAAAH+7P6U=")</f>
        <v>#VALUE!</v>
      </c>
      <c r="FK94" t="e">
        <f>AND(OUTPUT!F355,"AAAAAH+7P6Y=")</f>
        <v>#VALUE!</v>
      </c>
      <c r="FL94" t="e">
        <f>AND(OUTPUT!G355,"AAAAAH+7P6c=")</f>
        <v>#VALUE!</v>
      </c>
      <c r="FM94">
        <f>IF(OUTPUT!355:355,"AAAAAH+7P6g=",0)</f>
        <v>0</v>
      </c>
      <c r="FN94" t="e">
        <f>AND(OUTPUT!C356,"AAAAAH+7P6k=")</f>
        <v>#VALUE!</v>
      </c>
      <c r="FO94" t="e">
        <f>AND(OUTPUT!D355,"AAAAAH+7P6o=")</f>
        <v>#VALUE!</v>
      </c>
      <c r="FP94" t="e">
        <f>AND(OUTPUT!E356,"AAAAAH+7P6s=")</f>
        <v>#VALUE!</v>
      </c>
      <c r="FQ94" t="e">
        <f>AND(OUTPUT!F356,"AAAAAH+7P6w=")</f>
        <v>#VALUE!</v>
      </c>
      <c r="FR94" t="e">
        <f>AND(OUTPUT!G356,"AAAAAH+7P60=")</f>
        <v>#VALUE!</v>
      </c>
      <c r="FS94">
        <f>IF(OUTPUT!356:356,"AAAAAH+7P64=",0)</f>
        <v>0</v>
      </c>
      <c r="FT94" t="e">
        <f>AND(OUTPUT!C357,"AAAAAH+7P68=")</f>
        <v>#VALUE!</v>
      </c>
      <c r="FU94" t="e">
        <f>AND(OUTPUT!D356,"AAAAAH+7P7A=")</f>
        <v>#VALUE!</v>
      </c>
      <c r="FV94" t="e">
        <f>AND(OUTPUT!E357,"AAAAAH+7P7E=")</f>
        <v>#VALUE!</v>
      </c>
      <c r="FW94" t="e">
        <f>AND(OUTPUT!F357,"AAAAAH+7P7I=")</f>
        <v>#VALUE!</v>
      </c>
      <c r="FX94" t="e">
        <f>AND(OUTPUT!G357,"AAAAAH+7P7M=")</f>
        <v>#VALUE!</v>
      </c>
      <c r="FY94">
        <f>IF(OUTPUT!357:357,"AAAAAH+7P7Q=",0)</f>
        <v>0</v>
      </c>
      <c r="FZ94" t="e">
        <f>AND(OUTPUT!C358,"AAAAAH+7P7U=")</f>
        <v>#VALUE!</v>
      </c>
      <c r="GA94" t="e">
        <f>AND(OUTPUT!D357,"AAAAAH+7P7Y=")</f>
        <v>#VALUE!</v>
      </c>
      <c r="GB94" t="e">
        <f>AND(OUTPUT!E358,"AAAAAH+7P7c=")</f>
        <v>#VALUE!</v>
      </c>
      <c r="GC94" t="e">
        <f>AND(OUTPUT!F358,"AAAAAH+7P7g=")</f>
        <v>#VALUE!</v>
      </c>
      <c r="GD94" t="e">
        <f>AND(OUTPUT!G358,"AAAAAH+7P7k=")</f>
        <v>#VALUE!</v>
      </c>
      <c r="GE94">
        <f>IF(OUTPUT!358:358,"AAAAAH+7P7o=",0)</f>
        <v>0</v>
      </c>
      <c r="GF94" t="e">
        <f>AND(OUTPUT!C359,"AAAAAH+7P7s=")</f>
        <v>#VALUE!</v>
      </c>
      <c r="GG94" t="e">
        <f>AND(OUTPUT!D358,"AAAAAH+7P7w=")</f>
        <v>#VALUE!</v>
      </c>
      <c r="GH94" t="e">
        <f>AND(OUTPUT!E359,"AAAAAH+7P70=")</f>
        <v>#VALUE!</v>
      </c>
      <c r="GI94" t="e">
        <f>AND(OUTPUT!F359,"AAAAAH+7P74=")</f>
        <v>#VALUE!</v>
      </c>
      <c r="GJ94" t="e">
        <f>AND(OUTPUT!G359,"AAAAAH+7P78=")</f>
        <v>#VALUE!</v>
      </c>
      <c r="GK94">
        <f>IF(OUTPUT!359:359,"AAAAAH+7P8A=",0)</f>
        <v>0</v>
      </c>
      <c r="GL94" t="e">
        <f>AND(OUTPUT!C360,"AAAAAH+7P8E=")</f>
        <v>#VALUE!</v>
      </c>
      <c r="GM94" t="e">
        <f>AND(OUTPUT!D359,"AAAAAH+7P8I=")</f>
        <v>#VALUE!</v>
      </c>
      <c r="GN94" t="e">
        <f>AND(OUTPUT!E360,"AAAAAH+7P8M=")</f>
        <v>#VALUE!</v>
      </c>
      <c r="GO94" t="e">
        <f>AND(OUTPUT!F360,"AAAAAH+7P8Q=")</f>
        <v>#VALUE!</v>
      </c>
      <c r="GP94" t="e">
        <f>AND(OUTPUT!G360,"AAAAAH+7P8U=")</f>
        <v>#VALUE!</v>
      </c>
      <c r="GQ94">
        <f>IF(OUTPUT!360:360,"AAAAAH+7P8Y=",0)</f>
        <v>0</v>
      </c>
      <c r="GR94" t="e">
        <f>AND(OUTPUT!C361,"AAAAAH+7P8c=")</f>
        <v>#VALUE!</v>
      </c>
      <c r="GS94" t="e">
        <f>AND(OUTPUT!D360,"AAAAAH+7P8g=")</f>
        <v>#VALUE!</v>
      </c>
      <c r="GT94" t="e">
        <f>AND(OUTPUT!E361,"AAAAAH+7P8k=")</f>
        <v>#VALUE!</v>
      </c>
      <c r="GU94" t="e">
        <f>AND(OUTPUT!F361,"AAAAAH+7P8o=")</f>
        <v>#VALUE!</v>
      </c>
      <c r="GV94" t="e">
        <f>AND(OUTPUT!G361,"AAAAAH+7P8s=")</f>
        <v>#VALUE!</v>
      </c>
      <c r="GW94">
        <f>IF(OUTPUT!361:361,"AAAAAH+7P8w=",0)</f>
        <v>0</v>
      </c>
      <c r="GX94" t="e">
        <f>AND(OUTPUT!C362,"AAAAAH+7P80=")</f>
        <v>#VALUE!</v>
      </c>
      <c r="GY94" t="e">
        <f>AND(OUTPUT!D361,"AAAAAH+7P84=")</f>
        <v>#VALUE!</v>
      </c>
      <c r="GZ94" t="e">
        <f>AND(OUTPUT!E362,"AAAAAH+7P88=")</f>
        <v>#VALUE!</v>
      </c>
      <c r="HA94" t="e">
        <f>AND(OUTPUT!F362,"AAAAAH+7P9A=")</f>
        <v>#VALUE!</v>
      </c>
      <c r="HB94" t="e">
        <f>AND(OUTPUT!G362,"AAAAAH+7P9E=")</f>
        <v>#VALUE!</v>
      </c>
      <c r="HC94">
        <f>IF(OUTPUT!362:362,"AAAAAH+7P9I=",0)</f>
        <v>0</v>
      </c>
      <c r="HD94" t="e">
        <f>AND(OUTPUT!C363,"AAAAAH+7P9M=")</f>
        <v>#VALUE!</v>
      </c>
      <c r="HE94" t="e">
        <f>AND(OUTPUT!D362,"AAAAAH+7P9Q=")</f>
        <v>#VALUE!</v>
      </c>
      <c r="HF94" t="e">
        <f>AND(OUTPUT!E363,"AAAAAH+7P9U=")</f>
        <v>#VALUE!</v>
      </c>
      <c r="HG94" t="e">
        <f>AND(OUTPUT!F363,"AAAAAH+7P9Y=")</f>
        <v>#VALUE!</v>
      </c>
      <c r="HH94" t="e">
        <f>AND(OUTPUT!G363,"AAAAAH+7P9c=")</f>
        <v>#VALUE!</v>
      </c>
      <c r="HI94">
        <f>IF(OUTPUT!363:363,"AAAAAH+7P9g=",0)</f>
        <v>0</v>
      </c>
      <c r="HJ94" t="e">
        <f>AND(OUTPUT!C364,"AAAAAH+7P9k=")</f>
        <v>#VALUE!</v>
      </c>
      <c r="HK94" t="e">
        <f>AND(OUTPUT!D363,"AAAAAH+7P9o=")</f>
        <v>#VALUE!</v>
      </c>
      <c r="HL94" t="e">
        <f>AND(OUTPUT!E364,"AAAAAH+7P9s=")</f>
        <v>#VALUE!</v>
      </c>
      <c r="HM94" t="e">
        <f>AND(OUTPUT!F364,"AAAAAH+7P9w=")</f>
        <v>#VALUE!</v>
      </c>
      <c r="HN94" t="e">
        <f>AND(OUTPUT!G364,"AAAAAH+7P90=")</f>
        <v>#VALUE!</v>
      </c>
      <c r="HO94">
        <f>IF(OUTPUT!364:364,"AAAAAH+7P94=",0)</f>
        <v>0</v>
      </c>
      <c r="HP94" t="e">
        <f>AND(OUTPUT!C365,"AAAAAH+7P98=")</f>
        <v>#VALUE!</v>
      </c>
      <c r="HQ94" t="e">
        <f>AND(OUTPUT!D364,"AAAAAH+7P+A=")</f>
        <v>#VALUE!</v>
      </c>
      <c r="HR94" t="e">
        <f>AND(OUTPUT!E365,"AAAAAH+7P+E=")</f>
        <v>#VALUE!</v>
      </c>
      <c r="HS94" t="e">
        <f>AND(OUTPUT!F365,"AAAAAH+7P+I=")</f>
        <v>#VALUE!</v>
      </c>
      <c r="HT94" t="e">
        <f>AND(OUTPUT!G365,"AAAAAH+7P+M=")</f>
        <v>#VALUE!</v>
      </c>
      <c r="HU94">
        <f>IF(OUTPUT!365:365,"AAAAAH+7P+Q=",0)</f>
        <v>0</v>
      </c>
      <c r="HV94" t="e">
        <f>AND(OUTPUT!C366,"AAAAAH+7P+U=")</f>
        <v>#VALUE!</v>
      </c>
      <c r="HW94" t="e">
        <f>AND(OUTPUT!D365,"AAAAAH+7P+Y=")</f>
        <v>#VALUE!</v>
      </c>
      <c r="HX94" t="e">
        <f>AND(OUTPUT!E366,"AAAAAH+7P+c=")</f>
        <v>#VALUE!</v>
      </c>
      <c r="HY94" t="e">
        <f>AND(OUTPUT!F366,"AAAAAH+7P+g=")</f>
        <v>#VALUE!</v>
      </c>
      <c r="HZ94" t="e">
        <f>AND(OUTPUT!G366,"AAAAAH+7P+k=")</f>
        <v>#VALUE!</v>
      </c>
      <c r="IA94">
        <f>IF(OUTPUT!366:366,"AAAAAH+7P+o=",0)</f>
        <v>0</v>
      </c>
      <c r="IB94" t="e">
        <f>AND(OUTPUT!C367,"AAAAAH+7P+s=")</f>
        <v>#VALUE!</v>
      </c>
      <c r="IC94" t="e">
        <f>AND(OUTPUT!D366,"AAAAAH+7P+w=")</f>
        <v>#VALUE!</v>
      </c>
      <c r="ID94" t="e">
        <f>AND(OUTPUT!E367,"AAAAAH+7P+0=")</f>
        <v>#VALUE!</v>
      </c>
      <c r="IE94" t="e">
        <f>AND(OUTPUT!F367,"AAAAAH+7P+4=")</f>
        <v>#VALUE!</v>
      </c>
      <c r="IF94" t="e">
        <f>AND(OUTPUT!G367,"AAAAAH+7P+8=")</f>
        <v>#VALUE!</v>
      </c>
      <c r="IG94">
        <f>IF(OUTPUT!367:367,"AAAAAH+7P/A=",0)</f>
        <v>0</v>
      </c>
      <c r="IH94" t="e">
        <f>AND(OUTPUT!C368,"AAAAAH+7P/E=")</f>
        <v>#VALUE!</v>
      </c>
      <c r="II94" t="e">
        <f>AND(OUTPUT!D367,"AAAAAH+7P/I=")</f>
        <v>#VALUE!</v>
      </c>
      <c r="IJ94" t="e">
        <f>AND(OUTPUT!E368,"AAAAAH+7P/M=")</f>
        <v>#VALUE!</v>
      </c>
      <c r="IK94" t="e">
        <f>AND(OUTPUT!F368,"AAAAAH+7P/Q=")</f>
        <v>#VALUE!</v>
      </c>
      <c r="IL94" t="e">
        <f>AND(OUTPUT!G368,"AAAAAH+7P/U=")</f>
        <v>#VALUE!</v>
      </c>
      <c r="IM94">
        <f>IF(OUTPUT!368:368,"AAAAAH+7P/Y=",0)</f>
        <v>0</v>
      </c>
      <c r="IN94" t="e">
        <f>AND(OUTPUT!C369,"AAAAAH+7P/c=")</f>
        <v>#VALUE!</v>
      </c>
      <c r="IO94" t="e">
        <f>AND(OUTPUT!D368,"AAAAAH+7P/g=")</f>
        <v>#VALUE!</v>
      </c>
      <c r="IP94" t="e">
        <f>AND(OUTPUT!E369,"AAAAAH+7P/k=")</f>
        <v>#VALUE!</v>
      </c>
      <c r="IQ94" t="e">
        <f>AND(OUTPUT!F369,"AAAAAH+7P/o=")</f>
        <v>#VALUE!</v>
      </c>
      <c r="IR94" t="e">
        <f>AND(OUTPUT!G369,"AAAAAH+7P/s=")</f>
        <v>#VALUE!</v>
      </c>
      <c r="IS94">
        <f>IF(OUTPUT!369:369,"AAAAAH+7P/w=",0)</f>
        <v>0</v>
      </c>
      <c r="IT94" t="e">
        <f>AND(OUTPUT!C370,"AAAAAH+7P/0=")</f>
        <v>#VALUE!</v>
      </c>
      <c r="IU94" t="e">
        <f>AND(OUTPUT!D369,"AAAAAH+7P/4=")</f>
        <v>#VALUE!</v>
      </c>
      <c r="IV94" t="e">
        <f>AND(OUTPUT!E370,"AAAAAH+7P/8=")</f>
        <v>#VALUE!</v>
      </c>
    </row>
    <row r="95" spans="1:256" x14ac:dyDescent="0.2">
      <c r="A95" t="e">
        <f>AND(OUTPUT!F370,"AAAAAH9+swA=")</f>
        <v>#VALUE!</v>
      </c>
      <c r="B95" t="e">
        <f>AND(OUTPUT!G370,"AAAAAH9+swE=")</f>
        <v>#VALUE!</v>
      </c>
      <c r="C95" t="s">
        <v>26</v>
      </c>
    </row>
    <row r="96" spans="1:256" x14ac:dyDescent="0.2">
      <c r="A96" t="e">
        <f>AND(INPUT!C90,"AAAAAHtqqwA=")</f>
        <v>#VALUE!</v>
      </c>
      <c r="B96" t="e">
        <f>AND(INPUT!D90,"AAAAAHtqqwE=")</f>
        <v>#VALUE!</v>
      </c>
      <c r="C96" t="e">
        <f>AND(INPUT!E90,"AAAAAHtqqwI=")</f>
        <v>#VALUE!</v>
      </c>
      <c r="D96" t="e">
        <f>AND(INPUT!G90,"AAAAAHtqqwM=")</f>
        <v>#VALUE!</v>
      </c>
      <c r="E96" t="e">
        <f>AND(INPUT!#REF!,"AAAAAHtqqwQ=")</f>
        <v>#REF!</v>
      </c>
      <c r="F96" t="e">
        <f>AND(INPUT!H90,"AAAAAHtqqwU=")</f>
        <v>#VALUE!</v>
      </c>
      <c r="G96" t="e">
        <f>AND(INPUT!#REF!,"AAAAAHtqqwY=")</f>
        <v>#REF!</v>
      </c>
      <c r="H96" t="e">
        <f>AND(INPUT!I86,"AAAAAHtqqwc=")</f>
        <v>#VALUE!</v>
      </c>
      <c r="I96" t="e">
        <f>AND(INPUT!#REF!,"AAAAAHtqqwg=")</f>
        <v>#REF!</v>
      </c>
      <c r="J96" t="e">
        <f>AND(INPUT!J86,"AAAAAHtqqwk=")</f>
        <v>#VALUE!</v>
      </c>
      <c r="K96" t="e">
        <f>AND(INPUT!K86,"AAAAAHtqqwo=")</f>
        <v>#VALUE!</v>
      </c>
      <c r="L96" t="e">
        <f>AND(INPUT!#REF!,"AAAAAHtqqws=")</f>
        <v>#REF!</v>
      </c>
      <c r="M96" t="e">
        <f>AND(INPUT!#REF!,"AAAAAHtqqww=")</f>
        <v>#REF!</v>
      </c>
      <c r="N96" t="e">
        <f>AND(INPUT!C91,"AAAAAHtqqw0=")</f>
        <v>#VALUE!</v>
      </c>
      <c r="O96" t="e">
        <f>AND(INPUT!D91,"AAAAAHtqqw4=")</f>
        <v>#VALUE!</v>
      </c>
      <c r="P96" t="e">
        <f>AND(INPUT!E91,"AAAAAHtqqw8=")</f>
        <v>#VALUE!</v>
      </c>
      <c r="Q96" t="e">
        <f>AND(INPUT!G91,"AAAAAHtqqxA=")</f>
        <v>#VALUE!</v>
      </c>
      <c r="R96" t="e">
        <f>AND(INPUT!#REF!,"AAAAAHtqqxE=")</f>
        <v>#REF!</v>
      </c>
      <c r="S96" t="e">
        <f>AND(INPUT!H91,"AAAAAHtqqxI=")</f>
        <v>#VALUE!</v>
      </c>
      <c r="T96" t="e">
        <f>AND(INPUT!#REF!,"AAAAAHtqqxM=")</f>
        <v>#REF!</v>
      </c>
      <c r="U96" t="e">
        <f>AND(INPUT!I87,"AAAAAHtqqxQ=")</f>
        <v>#VALUE!</v>
      </c>
      <c r="V96" t="e">
        <f>AND(INPUT!#REF!,"AAAAAHtqqxU=")</f>
        <v>#REF!</v>
      </c>
      <c r="W96" t="e">
        <f>AND(INPUT!J87,"AAAAAHtqqxY=")</f>
        <v>#VALUE!</v>
      </c>
      <c r="X96" t="e">
        <f>AND(INPUT!K87,"AAAAAHtqqxc=")</f>
        <v>#VALUE!</v>
      </c>
      <c r="Y96" t="e">
        <f>AND(INPUT!#REF!,"AAAAAHtqqxg=")</f>
        <v>#REF!</v>
      </c>
      <c r="Z96" t="e">
        <f>AND(INPUT!#REF!,"AAAAAHtqqxk=")</f>
        <v>#REF!</v>
      </c>
      <c r="AA96" t="e">
        <f>AND(INPUT!C92,"AAAAAHtqqxo=")</f>
        <v>#VALUE!</v>
      </c>
      <c r="AB96" t="e">
        <f>AND(INPUT!D92,"AAAAAHtqqxs=")</f>
        <v>#VALUE!</v>
      </c>
      <c r="AC96" t="e">
        <f>AND(INPUT!E92,"AAAAAHtqqxw=")</f>
        <v>#VALUE!</v>
      </c>
      <c r="AD96" t="e">
        <f>AND(INPUT!G92,"AAAAAHtqqx0=")</f>
        <v>#VALUE!</v>
      </c>
      <c r="AE96" t="e">
        <f>AND(INPUT!#REF!,"AAAAAHtqqx4=")</f>
        <v>#REF!</v>
      </c>
      <c r="AF96" t="e">
        <f>AND(INPUT!H92,"AAAAAHtqqx8=")</f>
        <v>#VALUE!</v>
      </c>
      <c r="AG96" t="e">
        <f>AND(INPUT!#REF!,"AAAAAHtqqyA=")</f>
        <v>#REF!</v>
      </c>
      <c r="AH96" t="e">
        <f>AND(INPUT!I88,"AAAAAHtqqyE=")</f>
        <v>#VALUE!</v>
      </c>
      <c r="AI96" t="e">
        <f>AND(INPUT!#REF!,"AAAAAHtqqyI=")</f>
        <v>#REF!</v>
      </c>
      <c r="AJ96" t="e">
        <f>AND(INPUT!J88,"AAAAAHtqqyM=")</f>
        <v>#VALUE!</v>
      </c>
      <c r="AK96" t="e">
        <f>AND(INPUT!K88,"AAAAAHtqqyQ=")</f>
        <v>#VALUE!</v>
      </c>
      <c r="AL96" t="e">
        <f>AND(INPUT!#REF!,"AAAAAHtqqyU=")</f>
        <v>#REF!</v>
      </c>
      <c r="AM96" t="e">
        <f>AND(INPUT!#REF!,"AAAAAHtqqyY=")</f>
        <v>#REF!</v>
      </c>
      <c r="AN96" t="e">
        <f>AND(INPUT!C93,"AAAAAHtqqyc=")</f>
        <v>#VALUE!</v>
      </c>
      <c r="AO96" t="e">
        <f>AND(INPUT!D93,"AAAAAHtqqyg=")</f>
        <v>#VALUE!</v>
      </c>
      <c r="AP96" t="e">
        <f>AND(INPUT!E93,"AAAAAHtqqyk=")</f>
        <v>#VALUE!</v>
      </c>
      <c r="AQ96" t="e">
        <f>AND(INPUT!G93,"AAAAAHtqqyo=")</f>
        <v>#VALUE!</v>
      </c>
      <c r="AR96" t="e">
        <f>AND(INPUT!#REF!,"AAAAAHtqqys=")</f>
        <v>#REF!</v>
      </c>
      <c r="AS96" t="e">
        <f>AND(INPUT!H93,"AAAAAHtqqyw=")</f>
        <v>#VALUE!</v>
      </c>
      <c r="AT96" t="e">
        <f>AND(INPUT!#REF!,"AAAAAHtqqy0=")</f>
        <v>#REF!</v>
      </c>
      <c r="AU96" t="e">
        <f>AND(INPUT!I89,"AAAAAHtqqy4=")</f>
        <v>#VALUE!</v>
      </c>
      <c r="AV96" t="e">
        <f>AND(INPUT!#REF!,"AAAAAHtqqy8=")</f>
        <v>#REF!</v>
      </c>
      <c r="AW96" t="e">
        <f>AND(INPUT!J89,"AAAAAHtqqzA=")</f>
        <v>#VALUE!</v>
      </c>
      <c r="AX96" t="e">
        <f>AND(INPUT!K89,"AAAAAHtqqzE=")</f>
        <v>#VALUE!</v>
      </c>
      <c r="AY96" t="e">
        <f>AND(INPUT!#REF!,"AAAAAHtqqzI=")</f>
        <v>#REF!</v>
      </c>
      <c r="AZ96" t="e">
        <f>AND(INPUT!#REF!,"AAAAAHtqqzM=")</f>
        <v>#REF!</v>
      </c>
      <c r="BA96">
        <f>IF(OUTPUT!370:370,"AAAAAHtqqzQ=",0)</f>
        <v>0</v>
      </c>
      <c r="BB96" t="e">
        <f>AND(OUTPUT!C371,"AAAAAHtqqzU=")</f>
        <v>#VALUE!</v>
      </c>
      <c r="BC96" t="e">
        <f>AND(OUTPUT!D370,"AAAAAHtqqzY=")</f>
        <v>#VALUE!</v>
      </c>
      <c r="BD96" t="e">
        <f>AND(OUTPUT!E371,"AAAAAHtqqzc=")</f>
        <v>#VALUE!</v>
      </c>
      <c r="BE96" t="e">
        <f>AND(OUTPUT!F371,"AAAAAHtqqzg=")</f>
        <v>#VALUE!</v>
      </c>
      <c r="BF96" t="e">
        <f>AND(OUTPUT!G371,"AAAAAHtqqzk=")</f>
        <v>#VALUE!</v>
      </c>
      <c r="BG96">
        <f>IF(OUTPUT!371:371,"AAAAAHtqqzo=",0)</f>
        <v>0</v>
      </c>
      <c r="BH96" t="e">
        <f>AND(OUTPUT!C372,"AAAAAHtqqzs=")</f>
        <v>#VALUE!</v>
      </c>
      <c r="BI96" t="e">
        <f>AND(OUTPUT!D371,"AAAAAHtqqzw=")</f>
        <v>#VALUE!</v>
      </c>
      <c r="BJ96" t="e">
        <f>AND(OUTPUT!E372,"AAAAAHtqqz0=")</f>
        <v>#VALUE!</v>
      </c>
      <c r="BK96" t="e">
        <f>AND(OUTPUT!F372,"AAAAAHtqqz4=")</f>
        <v>#VALUE!</v>
      </c>
      <c r="BL96" t="e">
        <f>AND(OUTPUT!G372,"AAAAAHtqqz8=")</f>
        <v>#VALUE!</v>
      </c>
      <c r="BM96">
        <f>IF(OUTPUT!372:372,"AAAAAHtqq0A=",0)</f>
        <v>0</v>
      </c>
      <c r="BN96" t="e">
        <f>AND(OUTPUT!C373,"AAAAAHtqq0E=")</f>
        <v>#VALUE!</v>
      </c>
      <c r="BO96" t="e">
        <f>AND(OUTPUT!D372,"AAAAAHtqq0I=")</f>
        <v>#VALUE!</v>
      </c>
      <c r="BP96" t="e">
        <f>AND(OUTPUT!E373,"AAAAAHtqq0M=")</f>
        <v>#VALUE!</v>
      </c>
      <c r="BQ96" t="e">
        <f>AND(OUTPUT!F373,"AAAAAHtqq0Q=")</f>
        <v>#VALUE!</v>
      </c>
      <c r="BR96" t="e">
        <f>AND(OUTPUT!G373,"AAAAAHtqq0U=")</f>
        <v>#VALUE!</v>
      </c>
      <c r="BS96">
        <f>IF(OUTPUT!373:373,"AAAAAHtqq0Y=",0)</f>
        <v>0</v>
      </c>
      <c r="BT96" t="e">
        <f>AND(OUTPUT!C374,"AAAAAHtqq0c=")</f>
        <v>#VALUE!</v>
      </c>
      <c r="BU96" t="e">
        <f>AND(OUTPUT!D373,"AAAAAHtqq0g=")</f>
        <v>#VALUE!</v>
      </c>
      <c r="BV96" t="e">
        <f>AND(OUTPUT!E374,"AAAAAHtqq0k=")</f>
        <v>#VALUE!</v>
      </c>
      <c r="BW96" t="e">
        <f>AND(OUTPUT!F374,"AAAAAHtqq0o=")</f>
        <v>#VALUE!</v>
      </c>
      <c r="BX96" t="e">
        <f>AND(OUTPUT!G374,"AAAAAHtqq0s=")</f>
        <v>#VALUE!</v>
      </c>
      <c r="BY96">
        <f>IF(OUTPUT!374:374,"AAAAAHtqq0w=",0)</f>
        <v>0</v>
      </c>
      <c r="BZ96" t="e">
        <f>AND(OUTPUT!C375,"AAAAAHtqq00=")</f>
        <v>#VALUE!</v>
      </c>
      <c r="CA96" t="e">
        <f>AND(OUTPUT!D374,"AAAAAHtqq04=")</f>
        <v>#VALUE!</v>
      </c>
      <c r="CB96" t="e">
        <f>AND(OUTPUT!E375,"AAAAAHtqq08=")</f>
        <v>#VALUE!</v>
      </c>
      <c r="CC96" t="e">
        <f>AND(OUTPUT!F375,"AAAAAHtqq1A=")</f>
        <v>#VALUE!</v>
      </c>
      <c r="CD96" t="e">
        <f>AND(OUTPUT!G375,"AAAAAHtqq1E=")</f>
        <v>#VALUE!</v>
      </c>
      <c r="CE96">
        <f>IF(OUTPUT!375:375,"AAAAAHtqq1I=",0)</f>
        <v>0</v>
      </c>
      <c r="CF96" t="e">
        <f>AND(OUTPUT!C376,"AAAAAHtqq1M=")</f>
        <v>#VALUE!</v>
      </c>
      <c r="CG96" t="e">
        <f>AND(OUTPUT!D375,"AAAAAHtqq1Q=")</f>
        <v>#VALUE!</v>
      </c>
      <c r="CH96" t="e">
        <f>AND(OUTPUT!E376,"AAAAAHtqq1U=")</f>
        <v>#VALUE!</v>
      </c>
      <c r="CI96" t="e">
        <f>AND(OUTPUT!F376,"AAAAAHtqq1Y=")</f>
        <v>#VALUE!</v>
      </c>
      <c r="CJ96" t="e">
        <f>AND(OUTPUT!G376,"AAAAAHtqq1c=")</f>
        <v>#VALUE!</v>
      </c>
      <c r="CK96">
        <f>IF(OUTPUT!376:376,"AAAAAHtqq1g=",0)</f>
        <v>0</v>
      </c>
      <c r="CL96" t="e">
        <f>AND(OUTPUT!C377,"AAAAAHtqq1k=")</f>
        <v>#VALUE!</v>
      </c>
      <c r="CM96" t="e">
        <f>AND(OUTPUT!D376,"AAAAAHtqq1o=")</f>
        <v>#VALUE!</v>
      </c>
      <c r="CN96" t="e">
        <f>AND(OUTPUT!E377,"AAAAAHtqq1s=")</f>
        <v>#VALUE!</v>
      </c>
      <c r="CO96" t="e">
        <f>AND(OUTPUT!F377,"AAAAAHtqq1w=")</f>
        <v>#VALUE!</v>
      </c>
      <c r="CP96" t="e">
        <f>AND(OUTPUT!G377,"AAAAAHtqq10=")</f>
        <v>#VALUE!</v>
      </c>
      <c r="CQ96">
        <f>IF(OUTPUT!377:377,"AAAAAHtqq14=",0)</f>
        <v>0</v>
      </c>
      <c r="CR96" t="e">
        <f>AND(OUTPUT!C378,"AAAAAHtqq18=")</f>
        <v>#VALUE!</v>
      </c>
      <c r="CS96" t="e">
        <f>AND(OUTPUT!D377,"AAAAAHtqq2A=")</f>
        <v>#VALUE!</v>
      </c>
      <c r="CT96" t="e">
        <f>AND(OUTPUT!E378,"AAAAAHtqq2E=")</f>
        <v>#VALUE!</v>
      </c>
      <c r="CU96" t="e">
        <f>AND(OUTPUT!F378,"AAAAAHtqq2I=")</f>
        <v>#VALUE!</v>
      </c>
      <c r="CV96" t="e">
        <f>AND(OUTPUT!G378,"AAAAAHtqq2M=")</f>
        <v>#VALUE!</v>
      </c>
      <c r="CW96">
        <f>IF(OUTPUT!378:378,"AAAAAHtqq2Q=",0)</f>
        <v>0</v>
      </c>
      <c r="CX96" t="e">
        <f>AND(OUTPUT!C379,"AAAAAHtqq2U=")</f>
        <v>#VALUE!</v>
      </c>
      <c r="CY96" t="e">
        <f>AND(OUTPUT!D378,"AAAAAHtqq2Y=")</f>
        <v>#VALUE!</v>
      </c>
      <c r="CZ96" t="e">
        <f>AND(OUTPUT!E379,"AAAAAHtqq2c=")</f>
        <v>#VALUE!</v>
      </c>
      <c r="DA96" t="e">
        <f>AND(OUTPUT!F379,"AAAAAHtqq2g=")</f>
        <v>#VALUE!</v>
      </c>
      <c r="DB96" t="e">
        <f>AND(OUTPUT!G379,"AAAAAHtqq2k=")</f>
        <v>#VALUE!</v>
      </c>
      <c r="DC96">
        <f>IF(OUTPUT!379:379,"AAAAAHtqq2o=",0)</f>
        <v>0</v>
      </c>
      <c r="DD96" t="e">
        <f>AND(OUTPUT!C380,"AAAAAHtqq2s=")</f>
        <v>#VALUE!</v>
      </c>
      <c r="DE96" t="e">
        <f>AND(OUTPUT!D379,"AAAAAHtqq2w=")</f>
        <v>#VALUE!</v>
      </c>
      <c r="DF96" t="e">
        <f>AND(OUTPUT!E380,"AAAAAHtqq20=")</f>
        <v>#VALUE!</v>
      </c>
      <c r="DG96" t="e">
        <f>AND(OUTPUT!F380,"AAAAAHtqq24=")</f>
        <v>#VALUE!</v>
      </c>
      <c r="DH96" t="e">
        <f>AND(OUTPUT!G380,"AAAAAHtqq28=")</f>
        <v>#VALUE!</v>
      </c>
      <c r="DI96">
        <f>IF(OUTPUT!380:380,"AAAAAHtqq3A=",0)</f>
        <v>0</v>
      </c>
      <c r="DJ96" t="e">
        <f>AND(OUTPUT!C381,"AAAAAHtqq3E=")</f>
        <v>#VALUE!</v>
      </c>
      <c r="DK96" t="e">
        <f>AND(OUTPUT!D380,"AAAAAHtqq3I=")</f>
        <v>#VALUE!</v>
      </c>
      <c r="DL96" t="e">
        <f>AND(OUTPUT!E381,"AAAAAHtqq3M=")</f>
        <v>#VALUE!</v>
      </c>
      <c r="DM96" t="e">
        <f>AND(OUTPUT!F381,"AAAAAHtqq3Q=")</f>
        <v>#VALUE!</v>
      </c>
      <c r="DN96" t="e">
        <f>AND(OUTPUT!G381,"AAAAAHtqq3U=")</f>
        <v>#VALUE!</v>
      </c>
      <c r="DO96">
        <f>IF(OUTPUT!381:381,"AAAAAHtqq3Y=",0)</f>
        <v>0</v>
      </c>
      <c r="DP96" t="e">
        <f>AND(OUTPUT!C382,"AAAAAHtqq3c=")</f>
        <v>#VALUE!</v>
      </c>
      <c r="DQ96" t="e">
        <f>AND(OUTPUT!D381,"AAAAAHtqq3g=")</f>
        <v>#VALUE!</v>
      </c>
      <c r="DR96" t="e">
        <f>AND(OUTPUT!E382,"AAAAAHtqq3k=")</f>
        <v>#VALUE!</v>
      </c>
      <c r="DS96" t="e">
        <f>AND(OUTPUT!F382,"AAAAAHtqq3o=")</f>
        <v>#VALUE!</v>
      </c>
      <c r="DT96" t="e">
        <f>AND(OUTPUT!G382,"AAAAAHtqq3s=")</f>
        <v>#VALUE!</v>
      </c>
      <c r="DU96">
        <f>IF(OUTPUT!382:382,"AAAAAHtqq3w=",0)</f>
        <v>0</v>
      </c>
      <c r="DV96" t="e">
        <f>AND(OUTPUT!C383,"AAAAAHtqq30=")</f>
        <v>#VALUE!</v>
      </c>
      <c r="DW96" t="e">
        <f>AND(OUTPUT!D382,"AAAAAHtqq34=")</f>
        <v>#VALUE!</v>
      </c>
      <c r="DX96" t="e">
        <f>AND(OUTPUT!E383,"AAAAAHtqq38=")</f>
        <v>#VALUE!</v>
      </c>
      <c r="DY96" t="e">
        <f>AND(OUTPUT!F383,"AAAAAHtqq4A=")</f>
        <v>#VALUE!</v>
      </c>
      <c r="DZ96" t="e">
        <f>AND(OUTPUT!G383,"AAAAAHtqq4E=")</f>
        <v>#VALUE!</v>
      </c>
      <c r="EA96">
        <f>IF(OUTPUT!383:383,"AAAAAHtqq4I=",0)</f>
        <v>0</v>
      </c>
      <c r="EB96" t="e">
        <f>AND(OUTPUT!C384,"AAAAAHtqq4M=")</f>
        <v>#VALUE!</v>
      </c>
      <c r="EC96" t="e">
        <f>AND(OUTPUT!D383,"AAAAAHtqq4Q=")</f>
        <v>#VALUE!</v>
      </c>
      <c r="ED96" t="e">
        <f>AND(OUTPUT!E384,"AAAAAHtqq4U=")</f>
        <v>#VALUE!</v>
      </c>
      <c r="EE96" t="e">
        <f>AND(OUTPUT!F384,"AAAAAHtqq4Y=")</f>
        <v>#VALUE!</v>
      </c>
      <c r="EF96" t="e">
        <f>AND(OUTPUT!G384,"AAAAAHtqq4c=")</f>
        <v>#VALUE!</v>
      </c>
      <c r="EG96">
        <f>IF(OUTPUT!384:384,"AAAAAHtqq4g=",0)</f>
        <v>0</v>
      </c>
      <c r="EH96" t="e">
        <f>AND(OUTPUT!C385,"AAAAAHtqq4k=")</f>
        <v>#VALUE!</v>
      </c>
      <c r="EI96" t="e">
        <f>AND(OUTPUT!D384,"AAAAAHtqq4o=")</f>
        <v>#VALUE!</v>
      </c>
      <c r="EJ96" t="e">
        <f>AND(OUTPUT!E385,"AAAAAHtqq4s=")</f>
        <v>#VALUE!</v>
      </c>
      <c r="EK96" t="e">
        <f>AND(OUTPUT!F385,"AAAAAHtqq4w=")</f>
        <v>#VALUE!</v>
      </c>
      <c r="EL96" t="e">
        <f>AND(OUTPUT!G385,"AAAAAHtqq40=")</f>
        <v>#VALUE!</v>
      </c>
      <c r="EM96">
        <f>IF(OUTPUT!385:385,"AAAAAHtqq44=",0)</f>
        <v>0</v>
      </c>
      <c r="EN96" t="e">
        <f>AND(OUTPUT!C386,"AAAAAHtqq48=")</f>
        <v>#VALUE!</v>
      </c>
      <c r="EO96" t="e">
        <f>AND(OUTPUT!D385,"AAAAAHtqq5A=")</f>
        <v>#VALUE!</v>
      </c>
      <c r="EP96" t="e">
        <f>AND(OUTPUT!E386,"AAAAAHtqq5E=")</f>
        <v>#VALUE!</v>
      </c>
      <c r="EQ96" t="e">
        <f>AND(OUTPUT!F386,"AAAAAHtqq5I=")</f>
        <v>#VALUE!</v>
      </c>
      <c r="ER96" t="e">
        <f>AND(OUTPUT!G386,"AAAAAHtqq5M=")</f>
        <v>#VALUE!</v>
      </c>
      <c r="ES96">
        <f>IF(OUTPUT!386:386,"AAAAAHtqq5Q=",0)</f>
        <v>0</v>
      </c>
      <c r="ET96" t="e">
        <f>AND(OUTPUT!C387,"AAAAAHtqq5U=")</f>
        <v>#VALUE!</v>
      </c>
      <c r="EU96" t="e">
        <f>AND(OUTPUT!D386,"AAAAAHtqq5Y=")</f>
        <v>#VALUE!</v>
      </c>
      <c r="EV96" t="e">
        <f>AND(OUTPUT!E387,"AAAAAHtqq5c=")</f>
        <v>#VALUE!</v>
      </c>
      <c r="EW96" t="e">
        <f>AND(OUTPUT!F387,"AAAAAHtqq5g=")</f>
        <v>#VALUE!</v>
      </c>
      <c r="EX96" t="e">
        <f>AND(OUTPUT!G387,"AAAAAHtqq5k=")</f>
        <v>#VALUE!</v>
      </c>
      <c r="EY96">
        <f>IF(OUTPUT!387:387,"AAAAAHtqq5o=",0)</f>
        <v>0</v>
      </c>
      <c r="EZ96" t="e">
        <f>AND(OUTPUT!C388,"AAAAAHtqq5s=")</f>
        <v>#VALUE!</v>
      </c>
      <c r="FA96" t="e">
        <f>AND(OUTPUT!D387,"AAAAAHtqq5w=")</f>
        <v>#VALUE!</v>
      </c>
      <c r="FB96" t="e">
        <f>AND(OUTPUT!E388,"AAAAAHtqq50=")</f>
        <v>#VALUE!</v>
      </c>
      <c r="FC96" t="e">
        <f>AND(OUTPUT!F388,"AAAAAHtqq54=")</f>
        <v>#VALUE!</v>
      </c>
      <c r="FD96" t="e">
        <f>AND(OUTPUT!G388,"AAAAAHtqq58=")</f>
        <v>#VALUE!</v>
      </c>
      <c r="FE96">
        <f>IF(OUTPUT!388:388,"AAAAAHtqq6A=",0)</f>
        <v>0</v>
      </c>
      <c r="FF96" t="e">
        <f>AND(OUTPUT!C389,"AAAAAHtqq6E=")</f>
        <v>#VALUE!</v>
      </c>
      <c r="FG96" t="e">
        <f>AND(OUTPUT!D388,"AAAAAHtqq6I=")</f>
        <v>#VALUE!</v>
      </c>
      <c r="FH96" t="e">
        <f>AND(OUTPUT!E389,"AAAAAHtqq6M=")</f>
        <v>#VALUE!</v>
      </c>
      <c r="FI96" t="e">
        <f>AND(OUTPUT!F389,"AAAAAHtqq6Q=")</f>
        <v>#VALUE!</v>
      </c>
      <c r="FJ96" t="e">
        <f>AND(OUTPUT!G389,"AAAAAHtqq6U=")</f>
        <v>#VALUE!</v>
      </c>
      <c r="FK96">
        <f>IF(OUTPUT!389:389,"AAAAAHtqq6Y=",0)</f>
        <v>0</v>
      </c>
      <c r="FL96" t="e">
        <f>AND(OUTPUT!C390,"AAAAAHtqq6c=")</f>
        <v>#VALUE!</v>
      </c>
      <c r="FM96" t="e">
        <f>AND(OUTPUT!D389,"AAAAAHtqq6g=")</f>
        <v>#VALUE!</v>
      </c>
      <c r="FN96" t="e">
        <f>AND(OUTPUT!E390,"AAAAAHtqq6k=")</f>
        <v>#VALUE!</v>
      </c>
      <c r="FO96" t="e">
        <f>AND(OUTPUT!F390,"AAAAAHtqq6o=")</f>
        <v>#VALUE!</v>
      </c>
      <c r="FP96" t="e">
        <f>AND(OUTPUT!G390,"AAAAAHtqq6s=")</f>
        <v>#VALUE!</v>
      </c>
      <c r="FQ96">
        <f>IF(OUTPUT!390:390,"AAAAAHtqq6w=",0)</f>
        <v>0</v>
      </c>
      <c r="FR96" t="e">
        <f>AND(OUTPUT!C391,"AAAAAHtqq60=")</f>
        <v>#VALUE!</v>
      </c>
      <c r="FS96" t="e">
        <f>AND(OUTPUT!D390,"AAAAAHtqq64=")</f>
        <v>#VALUE!</v>
      </c>
      <c r="FT96" t="e">
        <f>AND(OUTPUT!E391,"AAAAAHtqq68=")</f>
        <v>#VALUE!</v>
      </c>
      <c r="FU96" t="e">
        <f>AND(OUTPUT!F391,"AAAAAHtqq7A=")</f>
        <v>#VALUE!</v>
      </c>
      <c r="FV96" t="e">
        <f>AND(OUTPUT!G391,"AAAAAHtqq7E=")</f>
        <v>#VALUE!</v>
      </c>
      <c r="FW96">
        <f>IF(OUTPUT!391:391,"AAAAAHtqq7I=",0)</f>
        <v>0</v>
      </c>
      <c r="FX96" t="e">
        <f>AND(OUTPUT!C392,"AAAAAHtqq7M=")</f>
        <v>#VALUE!</v>
      </c>
      <c r="FY96" t="e">
        <f>AND(OUTPUT!D391,"AAAAAHtqq7Q=")</f>
        <v>#VALUE!</v>
      </c>
      <c r="FZ96" t="e">
        <f>AND(OUTPUT!E392,"AAAAAHtqq7U=")</f>
        <v>#VALUE!</v>
      </c>
      <c r="GA96" t="e">
        <f>AND(OUTPUT!F392,"AAAAAHtqq7Y=")</f>
        <v>#VALUE!</v>
      </c>
      <c r="GB96" t="e">
        <f>AND(OUTPUT!G392,"AAAAAHtqq7c=")</f>
        <v>#VALUE!</v>
      </c>
      <c r="GC96">
        <f>IF(OUTPUT!392:392,"AAAAAHtqq7g=",0)</f>
        <v>0</v>
      </c>
      <c r="GD96" t="e">
        <f>AND(OUTPUT!C393,"AAAAAHtqq7k=")</f>
        <v>#VALUE!</v>
      </c>
      <c r="GE96" t="e">
        <f>AND(OUTPUT!D392,"AAAAAHtqq7o=")</f>
        <v>#VALUE!</v>
      </c>
      <c r="GF96" t="e">
        <f>AND(OUTPUT!E393,"AAAAAHtqq7s=")</f>
        <v>#VALUE!</v>
      </c>
      <c r="GG96" t="e">
        <f>AND(OUTPUT!F393,"AAAAAHtqq7w=")</f>
        <v>#VALUE!</v>
      </c>
      <c r="GH96" t="e">
        <f>AND(OUTPUT!G393,"AAAAAHtqq70=")</f>
        <v>#VALUE!</v>
      </c>
      <c r="GI96">
        <f>IF(OUTPUT!393:393,"AAAAAHtqq74=",0)</f>
        <v>0</v>
      </c>
      <c r="GJ96" t="e">
        <f>AND(OUTPUT!C394,"AAAAAHtqq78=")</f>
        <v>#VALUE!</v>
      </c>
      <c r="GK96" t="e">
        <f>AND(OUTPUT!D393,"AAAAAHtqq8A=")</f>
        <v>#VALUE!</v>
      </c>
      <c r="GL96" t="e">
        <f>AND(OUTPUT!E394,"AAAAAHtqq8E=")</f>
        <v>#VALUE!</v>
      </c>
      <c r="GM96" t="e">
        <f>AND(OUTPUT!F394,"AAAAAHtqq8I=")</f>
        <v>#VALUE!</v>
      </c>
      <c r="GN96" t="e">
        <f>AND(OUTPUT!G394,"AAAAAHtqq8M=")</f>
        <v>#VALUE!</v>
      </c>
      <c r="GO96">
        <f>IF(OUTPUT!394:394,"AAAAAHtqq8Q=",0)</f>
        <v>0</v>
      </c>
      <c r="GP96" t="e">
        <f>AND(OUTPUT!C395,"AAAAAHtqq8U=")</f>
        <v>#VALUE!</v>
      </c>
      <c r="GQ96" t="e">
        <f>AND(OUTPUT!D394,"AAAAAHtqq8Y=")</f>
        <v>#VALUE!</v>
      </c>
      <c r="GR96" t="e">
        <f>AND(OUTPUT!E395,"AAAAAHtqq8c=")</f>
        <v>#VALUE!</v>
      </c>
      <c r="GS96" t="e">
        <f>AND(OUTPUT!F395,"AAAAAHtqq8g=")</f>
        <v>#VALUE!</v>
      </c>
      <c r="GT96" t="e">
        <f>AND(OUTPUT!G395,"AAAAAHtqq8k=")</f>
        <v>#VALUE!</v>
      </c>
      <c r="GU96">
        <f>IF(OUTPUT!395:395,"AAAAAHtqq8o=",0)</f>
        <v>0</v>
      </c>
      <c r="GV96" t="e">
        <f>AND(OUTPUT!C396,"AAAAAHtqq8s=")</f>
        <v>#VALUE!</v>
      </c>
      <c r="GW96" t="e">
        <f>AND(OUTPUT!D395,"AAAAAHtqq8w=")</f>
        <v>#VALUE!</v>
      </c>
      <c r="GX96" t="e">
        <f>AND(OUTPUT!E396,"AAAAAHtqq80=")</f>
        <v>#VALUE!</v>
      </c>
      <c r="GY96" t="e">
        <f>AND(OUTPUT!F396,"AAAAAHtqq84=")</f>
        <v>#VALUE!</v>
      </c>
      <c r="GZ96" t="e">
        <f>AND(OUTPUT!G396,"AAAAAHtqq88=")</f>
        <v>#VALUE!</v>
      </c>
      <c r="HA96">
        <f>IF(OUTPUT!396:396,"AAAAAHtqq9A=",0)</f>
        <v>0</v>
      </c>
      <c r="HB96" t="e">
        <f>AND(OUTPUT!C397,"AAAAAHtqq9E=")</f>
        <v>#VALUE!</v>
      </c>
      <c r="HC96" t="e">
        <f>AND(OUTPUT!D396,"AAAAAHtqq9I=")</f>
        <v>#VALUE!</v>
      </c>
      <c r="HD96" t="e">
        <f>AND(OUTPUT!E397,"AAAAAHtqq9M=")</f>
        <v>#VALUE!</v>
      </c>
      <c r="HE96" t="e">
        <f>AND(OUTPUT!F397,"AAAAAHtqq9Q=")</f>
        <v>#VALUE!</v>
      </c>
      <c r="HF96" t="e">
        <f>AND(OUTPUT!G397,"AAAAAHtqq9U=")</f>
        <v>#VALUE!</v>
      </c>
      <c r="HG96">
        <f>IF(OUTPUT!397:397,"AAAAAHtqq9Y=",0)</f>
        <v>0</v>
      </c>
      <c r="HH96" t="e">
        <f>AND(OUTPUT!C398,"AAAAAHtqq9c=")</f>
        <v>#VALUE!</v>
      </c>
      <c r="HI96" t="e">
        <f>AND(OUTPUT!D397,"AAAAAHtqq9g=")</f>
        <v>#VALUE!</v>
      </c>
      <c r="HJ96" t="e">
        <f>AND(OUTPUT!E398,"AAAAAHtqq9k=")</f>
        <v>#VALUE!</v>
      </c>
      <c r="HK96" t="e">
        <f>AND(OUTPUT!F398,"AAAAAHtqq9o=")</f>
        <v>#VALUE!</v>
      </c>
      <c r="HL96" t="e">
        <f>AND(OUTPUT!G398,"AAAAAHtqq9s=")</f>
        <v>#VALUE!</v>
      </c>
      <c r="HM96">
        <f>IF(OUTPUT!398:398,"AAAAAHtqq9w=",0)</f>
        <v>0</v>
      </c>
      <c r="HN96" t="e">
        <f>AND(OUTPUT!C399,"AAAAAHtqq90=")</f>
        <v>#VALUE!</v>
      </c>
      <c r="HO96" t="e">
        <f>AND(OUTPUT!D398,"AAAAAHtqq94=")</f>
        <v>#VALUE!</v>
      </c>
      <c r="HP96" t="e">
        <f>AND(OUTPUT!E399,"AAAAAHtqq98=")</f>
        <v>#VALUE!</v>
      </c>
      <c r="HQ96" t="e">
        <f>AND(OUTPUT!F399,"AAAAAHtqq+A=")</f>
        <v>#VALUE!</v>
      </c>
      <c r="HR96" t="e">
        <f>AND(OUTPUT!G399,"AAAAAHtqq+E=")</f>
        <v>#VALUE!</v>
      </c>
      <c r="HS96">
        <f>IF(OUTPUT!399:399,"AAAAAHtqq+I=",0)</f>
        <v>0</v>
      </c>
      <c r="HT96" t="e">
        <f>AND(OUTPUT!C400,"AAAAAHtqq+M=")</f>
        <v>#VALUE!</v>
      </c>
      <c r="HU96" t="e">
        <f>AND(OUTPUT!D399,"AAAAAHtqq+Q=")</f>
        <v>#VALUE!</v>
      </c>
      <c r="HV96" t="e">
        <f>AND(OUTPUT!E400,"AAAAAHtqq+U=")</f>
        <v>#VALUE!</v>
      </c>
      <c r="HW96" t="e">
        <f>AND(OUTPUT!F400,"AAAAAHtqq+Y=")</f>
        <v>#VALUE!</v>
      </c>
      <c r="HX96" t="e">
        <f>AND(OUTPUT!G400,"AAAAAHtqq+c=")</f>
        <v>#VALUE!</v>
      </c>
      <c r="HY96">
        <f>IF(OUTPUT!400:400,"AAAAAHtqq+g=",0)</f>
        <v>0</v>
      </c>
      <c r="HZ96" t="e">
        <f>AND(OUTPUT!C401,"AAAAAHtqq+k=")</f>
        <v>#VALUE!</v>
      </c>
      <c r="IA96" t="e">
        <f>AND(OUTPUT!D400,"AAAAAHtqq+o=")</f>
        <v>#VALUE!</v>
      </c>
      <c r="IB96" t="e">
        <f>AND(OUTPUT!E401,"AAAAAHtqq+s=")</f>
        <v>#VALUE!</v>
      </c>
      <c r="IC96" t="e">
        <f>AND(OUTPUT!F401,"AAAAAHtqq+w=")</f>
        <v>#VALUE!</v>
      </c>
      <c r="ID96" t="e">
        <f>AND(OUTPUT!G401,"AAAAAHtqq+0=")</f>
        <v>#VALUE!</v>
      </c>
      <c r="IE96">
        <f>IF(OUTPUT!401:401,"AAAAAHtqq+4=",0)</f>
        <v>0</v>
      </c>
      <c r="IF96" t="e">
        <f>AND(OUTPUT!C402,"AAAAAHtqq+8=")</f>
        <v>#VALUE!</v>
      </c>
      <c r="IG96" t="e">
        <f>AND(OUTPUT!D401,"AAAAAHtqq/A=")</f>
        <v>#VALUE!</v>
      </c>
      <c r="IH96" t="e">
        <f>AND(OUTPUT!E402,"AAAAAHtqq/E=")</f>
        <v>#VALUE!</v>
      </c>
      <c r="II96" t="e">
        <f>AND(OUTPUT!F402,"AAAAAHtqq/I=")</f>
        <v>#VALUE!</v>
      </c>
      <c r="IJ96" t="e">
        <f>AND(OUTPUT!G402,"AAAAAHtqq/M=")</f>
        <v>#VALUE!</v>
      </c>
      <c r="IK96">
        <f>IF(OUTPUT!402:402,"AAAAAHtqq/Q=",0)</f>
        <v>0</v>
      </c>
      <c r="IL96" t="e">
        <f>AND(OUTPUT!C403,"AAAAAHtqq/U=")</f>
        <v>#VALUE!</v>
      </c>
      <c r="IM96" t="e">
        <f>AND(OUTPUT!D402,"AAAAAHtqq/Y=")</f>
        <v>#VALUE!</v>
      </c>
      <c r="IN96" t="e">
        <f>AND(OUTPUT!E403,"AAAAAHtqq/c=")</f>
        <v>#VALUE!</v>
      </c>
      <c r="IO96" t="e">
        <f>AND(OUTPUT!F403,"AAAAAHtqq/g=")</f>
        <v>#VALUE!</v>
      </c>
      <c r="IP96" t="e">
        <f>AND(OUTPUT!G403,"AAAAAHtqq/k=")</f>
        <v>#VALUE!</v>
      </c>
      <c r="IQ96">
        <f>IF(OUTPUT!403:403,"AAAAAHtqq/o=",0)</f>
        <v>0</v>
      </c>
      <c r="IR96" t="e">
        <f>AND(OUTPUT!C404,"AAAAAHtqq/s=")</f>
        <v>#VALUE!</v>
      </c>
      <c r="IS96" t="e">
        <f>AND(OUTPUT!D403,"AAAAAHtqq/w=")</f>
        <v>#VALUE!</v>
      </c>
      <c r="IT96" t="e">
        <f>AND(OUTPUT!E404,"AAAAAHtqq/0=")</f>
        <v>#VALUE!</v>
      </c>
      <c r="IU96" t="e">
        <f>AND(OUTPUT!F404,"AAAAAHtqq/4=")</f>
        <v>#VALUE!</v>
      </c>
      <c r="IV96" t="e">
        <f>AND(OUTPUT!G404,"AAAAAHtqq/8=")</f>
        <v>#VALUE!</v>
      </c>
    </row>
    <row r="97" spans="1:244" x14ac:dyDescent="0.2">
      <c r="A97" t="s">
        <v>27</v>
      </c>
    </row>
    <row r="98" spans="1:244" x14ac:dyDescent="0.2">
      <c r="A98">
        <f>IF(OUTPUT!404:404,"AAAAAH1/+wA=",0)</f>
        <v>0</v>
      </c>
      <c r="B98" t="e">
        <f>AND(OUTPUT!C405,"AAAAAH1/+wE=")</f>
        <v>#VALUE!</v>
      </c>
      <c r="C98" t="e">
        <f>AND(OUTPUT!D404,"AAAAAH1/+wI=")</f>
        <v>#VALUE!</v>
      </c>
      <c r="D98" t="e">
        <f>AND(OUTPUT!E405,"AAAAAH1/+wM=")</f>
        <v>#VALUE!</v>
      </c>
      <c r="E98" t="e">
        <f>AND(OUTPUT!F405,"AAAAAH1/+wQ=")</f>
        <v>#VALUE!</v>
      </c>
      <c r="F98" t="e">
        <f>AND(OUTPUT!G405,"AAAAAH1/+wU=")</f>
        <v>#VALUE!</v>
      </c>
      <c r="G98">
        <f>IF(OUTPUT!405:405,"AAAAAH1/+wY=",0)</f>
        <v>0</v>
      </c>
      <c r="H98" t="e">
        <f>AND(OUTPUT!C406,"AAAAAH1/+wc=")</f>
        <v>#VALUE!</v>
      </c>
      <c r="I98" t="e">
        <f>AND(OUTPUT!D405,"AAAAAH1/+wg=")</f>
        <v>#VALUE!</v>
      </c>
      <c r="J98" t="e">
        <f>AND(OUTPUT!E406,"AAAAAH1/+wk=")</f>
        <v>#VALUE!</v>
      </c>
      <c r="K98" t="e">
        <f>AND(OUTPUT!F406,"AAAAAH1/+wo=")</f>
        <v>#VALUE!</v>
      </c>
      <c r="L98" t="e">
        <f>AND(OUTPUT!G406,"AAAAAH1/+ws=")</f>
        <v>#VALUE!</v>
      </c>
      <c r="M98">
        <f>IF(OUTPUT!406:406,"AAAAAH1/+ww=",0)</f>
        <v>0</v>
      </c>
      <c r="N98" t="e">
        <f>AND(OUTPUT!C407,"AAAAAH1/+w0=")</f>
        <v>#VALUE!</v>
      </c>
      <c r="O98" t="e">
        <f>AND(OUTPUT!D406,"AAAAAH1/+w4=")</f>
        <v>#VALUE!</v>
      </c>
      <c r="P98" t="e">
        <f>AND(OUTPUT!E407,"AAAAAH1/+w8=")</f>
        <v>#VALUE!</v>
      </c>
      <c r="Q98" t="e">
        <f>AND(OUTPUT!F407,"AAAAAH1/+xA=")</f>
        <v>#VALUE!</v>
      </c>
      <c r="R98" t="e">
        <f>AND(OUTPUT!G407,"AAAAAH1/+xE=")</f>
        <v>#VALUE!</v>
      </c>
      <c r="S98">
        <f>IF(OUTPUT!407:407,"AAAAAH1/+xI=",0)</f>
        <v>0</v>
      </c>
      <c r="T98" t="e">
        <f>AND(OUTPUT!C408,"AAAAAH1/+xM=")</f>
        <v>#VALUE!</v>
      </c>
      <c r="U98" t="e">
        <f>AND(OUTPUT!D407,"AAAAAH1/+xQ=")</f>
        <v>#VALUE!</v>
      </c>
      <c r="V98" t="e">
        <f>AND(OUTPUT!E408,"AAAAAH1/+xU=")</f>
        <v>#VALUE!</v>
      </c>
      <c r="W98" t="e">
        <f>AND(OUTPUT!F408,"AAAAAH1/+xY=")</f>
        <v>#VALUE!</v>
      </c>
      <c r="X98" t="e">
        <f>AND(OUTPUT!G408,"AAAAAH1/+xc=")</f>
        <v>#VALUE!</v>
      </c>
      <c r="Y98">
        <f>IF(OUTPUT!408:408,"AAAAAH1/+xg=",0)</f>
        <v>0</v>
      </c>
      <c r="Z98" t="e">
        <f>AND(OUTPUT!C409,"AAAAAH1/+xk=")</f>
        <v>#VALUE!</v>
      </c>
      <c r="AA98" t="e">
        <f>AND(OUTPUT!D408,"AAAAAH1/+xo=")</f>
        <v>#VALUE!</v>
      </c>
      <c r="AB98" t="e">
        <f>AND(OUTPUT!E409,"AAAAAH1/+xs=")</f>
        <v>#VALUE!</v>
      </c>
      <c r="AC98" t="e">
        <f>AND(OUTPUT!F409,"AAAAAH1/+xw=")</f>
        <v>#VALUE!</v>
      </c>
      <c r="AD98" t="e">
        <f>AND(OUTPUT!G409,"AAAAAH1/+x0=")</f>
        <v>#VALUE!</v>
      </c>
      <c r="AE98">
        <f>IF(OUTPUT!409:409,"AAAAAH1/+x4=",0)</f>
        <v>0</v>
      </c>
      <c r="AF98" t="e">
        <f>AND(OUTPUT!C410,"AAAAAH1/+x8=")</f>
        <v>#VALUE!</v>
      </c>
      <c r="AG98" t="e">
        <f>AND(OUTPUT!D409,"AAAAAH1/+yA=")</f>
        <v>#VALUE!</v>
      </c>
      <c r="AH98" t="e">
        <f>AND(OUTPUT!E410,"AAAAAH1/+yE=")</f>
        <v>#VALUE!</v>
      </c>
      <c r="AI98" t="e">
        <f>AND(OUTPUT!F410,"AAAAAH1/+yI=")</f>
        <v>#VALUE!</v>
      </c>
      <c r="AJ98" t="e">
        <f>AND(OUTPUT!G410,"AAAAAH1/+yM=")</f>
        <v>#VALUE!</v>
      </c>
      <c r="AK98">
        <f>IF(OUTPUT!410:410,"AAAAAH1/+yQ=",0)</f>
        <v>0</v>
      </c>
      <c r="AL98" t="e">
        <f>AND(OUTPUT!C411,"AAAAAH1/+yU=")</f>
        <v>#VALUE!</v>
      </c>
      <c r="AM98" t="e">
        <f>AND(OUTPUT!D410,"AAAAAH1/+yY=")</f>
        <v>#VALUE!</v>
      </c>
      <c r="AN98" t="e">
        <f>AND(OUTPUT!E411,"AAAAAH1/+yc=")</f>
        <v>#VALUE!</v>
      </c>
      <c r="AO98" t="e">
        <f>AND(OUTPUT!F411,"AAAAAH1/+yg=")</f>
        <v>#VALUE!</v>
      </c>
      <c r="AP98" t="e">
        <f>AND(OUTPUT!G411,"AAAAAH1/+yk=")</f>
        <v>#VALUE!</v>
      </c>
      <c r="AQ98">
        <f>IF(OUTPUT!411:411,"AAAAAH1/+yo=",0)</f>
        <v>0</v>
      </c>
      <c r="AR98" t="e">
        <f>AND(OUTPUT!C412,"AAAAAH1/+ys=")</f>
        <v>#VALUE!</v>
      </c>
      <c r="AS98" t="e">
        <f>AND(OUTPUT!D411,"AAAAAH1/+yw=")</f>
        <v>#VALUE!</v>
      </c>
      <c r="AT98" t="e">
        <f>AND(OUTPUT!E412,"AAAAAH1/+y0=")</f>
        <v>#VALUE!</v>
      </c>
      <c r="AU98" t="e">
        <f>AND(OUTPUT!F412,"AAAAAH1/+y4=")</f>
        <v>#VALUE!</v>
      </c>
      <c r="AV98" t="e">
        <f>AND(OUTPUT!G412,"AAAAAH1/+y8=")</f>
        <v>#VALUE!</v>
      </c>
      <c r="AW98">
        <f>IF(OUTPUT!412:412,"AAAAAH1/+zA=",0)</f>
        <v>0</v>
      </c>
      <c r="AX98" t="e">
        <f>AND(OUTPUT!C413,"AAAAAH1/+zE=")</f>
        <v>#VALUE!</v>
      </c>
      <c r="AY98" t="e">
        <f>AND(OUTPUT!D412,"AAAAAH1/+zI=")</f>
        <v>#VALUE!</v>
      </c>
      <c r="AZ98" t="e">
        <f>AND(OUTPUT!E413,"AAAAAH1/+zM=")</f>
        <v>#VALUE!</v>
      </c>
      <c r="BA98" t="e">
        <f>AND(OUTPUT!F413,"AAAAAH1/+zQ=")</f>
        <v>#VALUE!</v>
      </c>
      <c r="BB98" t="e">
        <f>AND(OUTPUT!G413,"AAAAAH1/+zU=")</f>
        <v>#VALUE!</v>
      </c>
      <c r="BC98">
        <f>IF(OUTPUT!413:413,"AAAAAH1/+zY=",0)</f>
        <v>0</v>
      </c>
      <c r="BD98" t="e">
        <f>AND(OUTPUT!C414,"AAAAAH1/+zc=")</f>
        <v>#VALUE!</v>
      </c>
      <c r="BE98" t="e">
        <f>AND(OUTPUT!D413,"AAAAAH1/+zg=")</f>
        <v>#VALUE!</v>
      </c>
      <c r="BF98" t="e">
        <f>AND(OUTPUT!E414,"AAAAAH1/+zk=")</f>
        <v>#VALUE!</v>
      </c>
      <c r="BG98" t="e">
        <f>AND(OUTPUT!F414,"AAAAAH1/+zo=")</f>
        <v>#VALUE!</v>
      </c>
      <c r="BH98" t="e">
        <f>AND(OUTPUT!G414,"AAAAAH1/+zs=")</f>
        <v>#VALUE!</v>
      </c>
      <c r="BI98">
        <f>IF(OUTPUT!414:414,"AAAAAH1/+zw=",0)</f>
        <v>0</v>
      </c>
      <c r="BJ98" t="e">
        <f>AND(OUTPUT!C415,"AAAAAH1/+z0=")</f>
        <v>#VALUE!</v>
      </c>
      <c r="BK98" t="e">
        <f>AND(OUTPUT!D414,"AAAAAH1/+z4=")</f>
        <v>#VALUE!</v>
      </c>
      <c r="BL98" t="e">
        <f>AND(OUTPUT!E415,"AAAAAH1/+z8=")</f>
        <v>#VALUE!</v>
      </c>
      <c r="BM98" t="e">
        <f>AND(OUTPUT!F415,"AAAAAH1/+0A=")</f>
        <v>#VALUE!</v>
      </c>
      <c r="BN98" t="e">
        <f>AND(OUTPUT!G415,"AAAAAH1/+0E=")</f>
        <v>#VALUE!</v>
      </c>
      <c r="BO98">
        <f>IF(OUTPUT!415:415,"AAAAAH1/+0I=",0)</f>
        <v>0</v>
      </c>
      <c r="BP98" t="e">
        <f>AND(OUTPUT!C416,"AAAAAH1/+0M=")</f>
        <v>#VALUE!</v>
      </c>
      <c r="BQ98" t="e">
        <f>AND(OUTPUT!D415,"AAAAAH1/+0Q=")</f>
        <v>#VALUE!</v>
      </c>
      <c r="BR98" t="e">
        <f>AND(OUTPUT!E416,"AAAAAH1/+0U=")</f>
        <v>#VALUE!</v>
      </c>
      <c r="BS98" t="e">
        <f>AND(OUTPUT!F416,"AAAAAH1/+0Y=")</f>
        <v>#VALUE!</v>
      </c>
      <c r="BT98" t="e">
        <f>AND(OUTPUT!G416,"AAAAAH1/+0c=")</f>
        <v>#VALUE!</v>
      </c>
      <c r="BU98">
        <f>IF(OUTPUT!416:416,"AAAAAH1/+0g=",0)</f>
        <v>0</v>
      </c>
      <c r="BV98" t="e">
        <f>AND(OUTPUT!C417,"AAAAAH1/+0k=")</f>
        <v>#VALUE!</v>
      </c>
      <c r="BW98" t="e">
        <f>AND(OUTPUT!D416,"AAAAAH1/+0o=")</f>
        <v>#VALUE!</v>
      </c>
      <c r="BX98" t="e">
        <f>AND(OUTPUT!E417,"AAAAAH1/+0s=")</f>
        <v>#VALUE!</v>
      </c>
      <c r="BY98" t="e">
        <f>AND(OUTPUT!F417,"AAAAAH1/+0w=")</f>
        <v>#VALUE!</v>
      </c>
      <c r="BZ98" t="e">
        <f>AND(OUTPUT!G417,"AAAAAH1/+00=")</f>
        <v>#VALUE!</v>
      </c>
      <c r="CA98">
        <f>IF(OUTPUT!417:417,"AAAAAH1/+04=",0)</f>
        <v>0</v>
      </c>
      <c r="CB98" t="e">
        <f>AND(OUTPUT!C418,"AAAAAH1/+08=")</f>
        <v>#VALUE!</v>
      </c>
      <c r="CC98" t="e">
        <f>AND(OUTPUT!D417,"AAAAAH1/+1A=")</f>
        <v>#VALUE!</v>
      </c>
      <c r="CD98" t="e">
        <f>AND(OUTPUT!E418,"AAAAAH1/+1E=")</f>
        <v>#VALUE!</v>
      </c>
      <c r="CE98" t="e">
        <f>AND(OUTPUT!F418,"AAAAAH1/+1I=")</f>
        <v>#VALUE!</v>
      </c>
      <c r="CF98" t="e">
        <f>AND(OUTPUT!G418,"AAAAAH1/+1M=")</f>
        <v>#VALUE!</v>
      </c>
      <c r="CG98">
        <f>IF(OUTPUT!418:418,"AAAAAH1/+1Q=",0)</f>
        <v>0</v>
      </c>
      <c r="CH98" t="e">
        <f>AND(OUTPUT!C419,"AAAAAH1/+1U=")</f>
        <v>#VALUE!</v>
      </c>
      <c r="CI98" t="e">
        <f>AND(OUTPUT!D418,"AAAAAH1/+1Y=")</f>
        <v>#VALUE!</v>
      </c>
      <c r="CJ98" t="e">
        <f>AND(OUTPUT!E419,"AAAAAH1/+1c=")</f>
        <v>#VALUE!</v>
      </c>
      <c r="CK98" t="e">
        <f>AND(OUTPUT!F419,"AAAAAH1/+1g=")</f>
        <v>#VALUE!</v>
      </c>
      <c r="CL98" t="e">
        <f>AND(OUTPUT!G419,"AAAAAH1/+1k=")</f>
        <v>#VALUE!</v>
      </c>
      <c r="CM98">
        <f>IF(OUTPUT!419:419,"AAAAAH1/+1o=",0)</f>
        <v>0</v>
      </c>
      <c r="CN98" t="e">
        <f>AND(OUTPUT!C420,"AAAAAH1/+1s=")</f>
        <v>#VALUE!</v>
      </c>
      <c r="CO98" t="e">
        <f>AND(OUTPUT!D419,"AAAAAH1/+1w=")</f>
        <v>#VALUE!</v>
      </c>
      <c r="CP98" t="e">
        <f>AND(OUTPUT!E422,"AAAAAH1/+10=")</f>
        <v>#VALUE!</v>
      </c>
      <c r="CQ98" t="e">
        <f>AND(OUTPUT!F420,"AAAAAH1/+14=")</f>
        <v>#VALUE!</v>
      </c>
      <c r="CR98" t="e">
        <f>AND(OUTPUT!G420,"AAAAAH1/+18=")</f>
        <v>#VALUE!</v>
      </c>
      <c r="CS98">
        <f>IF(OUTPUT!420:420,"AAAAAH1/+2A=",0)</f>
        <v>0</v>
      </c>
      <c r="CT98" t="e">
        <f>AND(OUTPUT!C421,"AAAAAH1/+2E=")</f>
        <v>#VALUE!</v>
      </c>
      <c r="CU98" t="e">
        <f>AND(OUTPUT!D420,"AAAAAH1/+2I=")</f>
        <v>#VALUE!</v>
      </c>
      <c r="CV98" t="e">
        <f>AND(OUTPUT!E423,"AAAAAH1/+2M=")</f>
        <v>#VALUE!</v>
      </c>
      <c r="CW98" t="e">
        <f>AND(OUTPUT!F421,"AAAAAH1/+2Q=")</f>
        <v>#VALUE!</v>
      </c>
      <c r="CX98" t="e">
        <f>AND(OUTPUT!G421,"AAAAAH1/+2U=")</f>
        <v>#VALUE!</v>
      </c>
      <c r="CY98">
        <f>IF(OUTPUT!421:421,"AAAAAH1/+2Y=",0)</f>
        <v>0</v>
      </c>
      <c r="CZ98" t="e">
        <f>AND(OUTPUT!C422,"AAAAAH1/+2c=")</f>
        <v>#VALUE!</v>
      </c>
      <c r="DA98" t="e">
        <f>AND(OUTPUT!D421,"AAAAAH1/+2g=")</f>
        <v>#VALUE!</v>
      </c>
      <c r="DB98" t="e">
        <f>AND(OUTPUT!E424,"AAAAAH1/+2k=")</f>
        <v>#VALUE!</v>
      </c>
      <c r="DC98" t="e">
        <f>AND(OUTPUT!F422,"AAAAAH1/+2o=")</f>
        <v>#VALUE!</v>
      </c>
      <c r="DD98" t="e">
        <f>AND(OUTPUT!G422,"AAAAAH1/+2s=")</f>
        <v>#VALUE!</v>
      </c>
      <c r="DE98">
        <f>IF(OUTPUT!422:422,"AAAAAH1/+2w=",0)</f>
        <v>0</v>
      </c>
      <c r="DF98" t="e">
        <f>AND(OUTPUT!C423,"AAAAAH1/+20=")</f>
        <v>#VALUE!</v>
      </c>
      <c r="DG98" t="e">
        <f>AND(OUTPUT!D422,"AAAAAH1/+24=")</f>
        <v>#VALUE!</v>
      </c>
      <c r="DH98" t="e">
        <f>AND(OUTPUT!E425,"AAAAAH1/+28=")</f>
        <v>#VALUE!</v>
      </c>
      <c r="DI98" t="e">
        <f>AND(OUTPUT!F423,"AAAAAH1/+3A=")</f>
        <v>#VALUE!</v>
      </c>
      <c r="DJ98" t="e">
        <f>AND(OUTPUT!G423,"AAAAAH1/+3E=")</f>
        <v>#VALUE!</v>
      </c>
      <c r="DK98">
        <f>IF(OUTPUT!423:423,"AAAAAH1/+3I=",0)</f>
        <v>0</v>
      </c>
      <c r="DL98" t="e">
        <f>AND(OUTPUT!C424,"AAAAAH1/+3M=")</f>
        <v>#VALUE!</v>
      </c>
      <c r="DM98" t="e">
        <f>AND(OUTPUT!D423,"AAAAAH1/+3Q=")</f>
        <v>#VALUE!</v>
      </c>
      <c r="DN98" t="e">
        <f>AND(OUTPUT!#REF!,"AAAAAH1/+3U=")</f>
        <v>#REF!</v>
      </c>
      <c r="DO98" t="e">
        <f>AND(OUTPUT!F424,"AAAAAH1/+3Y=")</f>
        <v>#VALUE!</v>
      </c>
      <c r="DP98" t="e">
        <f>AND(OUTPUT!G424,"AAAAAH1/+3c=")</f>
        <v>#VALUE!</v>
      </c>
      <c r="DQ98">
        <f>IF(OUTPUT!424:424,"AAAAAH1/+3g=",0)</f>
        <v>0</v>
      </c>
      <c r="DR98" t="e">
        <f>AND(OUTPUT!C425,"AAAAAH1/+3k=")</f>
        <v>#VALUE!</v>
      </c>
      <c r="DS98" t="e">
        <f>AND(OUTPUT!D424,"AAAAAH1/+3o=")</f>
        <v>#VALUE!</v>
      </c>
      <c r="DT98" t="e">
        <f>AND(OUTPUT!#REF!,"AAAAAH1/+3s=")</f>
        <v>#REF!</v>
      </c>
      <c r="DU98" t="e">
        <f>AND(OUTPUT!F425,"AAAAAH1/+3w=")</f>
        <v>#VALUE!</v>
      </c>
      <c r="DV98" t="e">
        <f>AND(OUTPUT!G425,"AAAAAH1/+30=")</f>
        <v>#VALUE!</v>
      </c>
      <c r="DW98">
        <f>IF(OUTPUT!425:425,"AAAAAH1/+34=",0)</f>
        <v>0</v>
      </c>
      <c r="DX98" t="e">
        <f>AND(OUTPUT!C426,"AAAAAH1/+38=")</f>
        <v>#VALUE!</v>
      </c>
      <c r="DY98" t="e">
        <f>AND(OUTPUT!D425,"AAAAAH1/+4A=")</f>
        <v>#VALUE!</v>
      </c>
      <c r="DZ98" t="e">
        <f>AND(OUTPUT!E426,"AAAAAH1/+4E=")</f>
        <v>#VALUE!</v>
      </c>
      <c r="EA98" t="e">
        <f>AND(OUTPUT!F426,"AAAAAH1/+4I=")</f>
        <v>#VALUE!</v>
      </c>
      <c r="EB98" t="e">
        <f>AND(OUTPUT!G426,"AAAAAH1/+4M=")</f>
        <v>#VALUE!</v>
      </c>
      <c r="EC98">
        <f>IF(OUTPUT!426:426,"AAAAAH1/+4Q=",0)</f>
        <v>0</v>
      </c>
      <c r="ED98" t="e">
        <f>AND(OUTPUT!C427,"AAAAAH1/+4U=")</f>
        <v>#VALUE!</v>
      </c>
      <c r="EE98" t="e">
        <f>AND(OUTPUT!D426,"AAAAAH1/+4Y=")</f>
        <v>#VALUE!</v>
      </c>
      <c r="EF98" t="e">
        <f>AND(OUTPUT!E427,"AAAAAH1/+4c=")</f>
        <v>#VALUE!</v>
      </c>
      <c r="EG98" t="e">
        <f>AND(OUTPUT!F427,"AAAAAH1/+4g=")</f>
        <v>#VALUE!</v>
      </c>
      <c r="EH98" t="e">
        <f>AND(OUTPUT!G427,"AAAAAH1/+4k=")</f>
        <v>#VALUE!</v>
      </c>
      <c r="EI98">
        <f>IF(OUTPUT!427:427,"AAAAAH1/+4o=",0)</f>
        <v>0</v>
      </c>
      <c r="EJ98" t="e">
        <f>AND(OUTPUT!C428,"AAAAAH1/+4s=")</f>
        <v>#VALUE!</v>
      </c>
      <c r="EK98" t="e">
        <f>AND(OUTPUT!D427,"AAAAAH1/+4w=")</f>
        <v>#VALUE!</v>
      </c>
      <c r="EL98" t="e">
        <f>AND(OUTPUT!E428,"AAAAAH1/+40=")</f>
        <v>#VALUE!</v>
      </c>
      <c r="EM98" t="e">
        <f>AND(OUTPUT!F428,"AAAAAH1/+44=")</f>
        <v>#VALUE!</v>
      </c>
      <c r="EN98" t="e">
        <f>AND(OUTPUT!G428,"AAAAAH1/+48=")</f>
        <v>#VALUE!</v>
      </c>
      <c r="EO98">
        <f>IF(OUTPUT!428:428,"AAAAAH1/+5A=",0)</f>
        <v>0</v>
      </c>
      <c r="EP98" t="e">
        <f>AND(OUTPUT!C429,"AAAAAH1/+5E=")</f>
        <v>#VALUE!</v>
      </c>
      <c r="EQ98" t="e">
        <f>AND(OUTPUT!D428,"AAAAAH1/+5I=")</f>
        <v>#VALUE!</v>
      </c>
      <c r="ER98" t="e">
        <f>AND(OUTPUT!E429,"AAAAAH1/+5M=")</f>
        <v>#VALUE!</v>
      </c>
      <c r="ES98" t="e">
        <f>AND(OUTPUT!F429,"AAAAAH1/+5Q=")</f>
        <v>#VALUE!</v>
      </c>
      <c r="ET98" t="e">
        <f>AND(OUTPUT!G429,"AAAAAH1/+5U=")</f>
        <v>#VALUE!</v>
      </c>
      <c r="EU98">
        <f>IF(OUTPUT!429:429,"AAAAAH1/+5Y=",0)</f>
        <v>0</v>
      </c>
      <c r="EV98" t="e">
        <f>AND(OUTPUT!C430,"AAAAAH1/+5c=")</f>
        <v>#VALUE!</v>
      </c>
      <c r="EW98" t="e">
        <f>AND(OUTPUT!D429,"AAAAAH1/+5g=")</f>
        <v>#VALUE!</v>
      </c>
      <c r="EX98" t="e">
        <f>AND(OUTPUT!#REF!,"AAAAAH1/+5k=")</f>
        <v>#REF!</v>
      </c>
      <c r="EY98" t="e">
        <f>AND(OUTPUT!F430,"AAAAAH1/+5o=")</f>
        <v>#VALUE!</v>
      </c>
      <c r="EZ98" t="e">
        <f>AND(OUTPUT!G430,"AAAAAH1/+5s=")</f>
        <v>#VALUE!</v>
      </c>
      <c r="FA98">
        <f>IF(OUTPUT!430:430,"AAAAAH1/+5w=",0)</f>
        <v>0</v>
      </c>
      <c r="FB98" t="e">
        <f>AND(OUTPUT!C431,"AAAAAH1/+50=")</f>
        <v>#VALUE!</v>
      </c>
      <c r="FC98" t="e">
        <f>AND(OUTPUT!D430,"AAAAAH1/+54=")</f>
        <v>#VALUE!</v>
      </c>
      <c r="FD98" t="e">
        <f>AND(OUTPUT!#REF!,"AAAAAH1/+58=")</f>
        <v>#REF!</v>
      </c>
      <c r="FE98" t="e">
        <f>AND(OUTPUT!F431,"AAAAAH1/+6A=")</f>
        <v>#VALUE!</v>
      </c>
      <c r="FF98" t="e">
        <f>AND(OUTPUT!G431,"AAAAAH1/+6E=")</f>
        <v>#VALUE!</v>
      </c>
      <c r="FG98">
        <f>IF(OUTPUT!431:431,"AAAAAH1/+6I=",0)</f>
        <v>0</v>
      </c>
      <c r="FH98" t="e">
        <f>AND(OUTPUT!C432,"AAAAAH1/+6M=")</f>
        <v>#VALUE!</v>
      </c>
      <c r="FI98" t="e">
        <f>AND(OUTPUT!D431,"AAAAAH1/+6Q=")</f>
        <v>#VALUE!</v>
      </c>
      <c r="FJ98" t="e">
        <f>AND(OUTPUT!E432,"AAAAAH1/+6U=")</f>
        <v>#VALUE!</v>
      </c>
      <c r="FK98" t="e">
        <f>AND(OUTPUT!F432,"AAAAAH1/+6Y=")</f>
        <v>#VALUE!</v>
      </c>
      <c r="FL98" t="e">
        <f>AND(OUTPUT!G432,"AAAAAH1/+6c=")</f>
        <v>#VALUE!</v>
      </c>
      <c r="FM98">
        <f>IF(OUTPUT!432:432,"AAAAAH1/+6g=",0)</f>
        <v>0</v>
      </c>
      <c r="FN98" t="e">
        <f>AND(OUTPUT!C433,"AAAAAH1/+6k=")</f>
        <v>#VALUE!</v>
      </c>
      <c r="FO98" t="e">
        <f>AND(OUTPUT!D432,"AAAAAH1/+6o=")</f>
        <v>#VALUE!</v>
      </c>
      <c r="FP98" t="e">
        <f>AND(OUTPUT!E433,"AAAAAH1/+6s=")</f>
        <v>#VALUE!</v>
      </c>
      <c r="FQ98" t="e">
        <f>AND(OUTPUT!F433,"AAAAAH1/+6w=")</f>
        <v>#VALUE!</v>
      </c>
      <c r="FR98" t="e">
        <f>AND(OUTPUT!G433,"AAAAAH1/+60=")</f>
        <v>#VALUE!</v>
      </c>
      <c r="FS98">
        <f>IF(OUTPUT!433:433,"AAAAAH1/+64=",0)</f>
        <v>0</v>
      </c>
      <c r="FT98" t="e">
        <f>AND(OUTPUT!C434,"AAAAAH1/+68=")</f>
        <v>#VALUE!</v>
      </c>
      <c r="FU98" t="e">
        <f>AND(OUTPUT!D433,"AAAAAH1/+7A=")</f>
        <v>#VALUE!</v>
      </c>
      <c r="FV98" t="e">
        <f>AND(OUTPUT!E434,"AAAAAH1/+7E=")</f>
        <v>#VALUE!</v>
      </c>
      <c r="FW98" t="e">
        <f>AND(OUTPUT!F434,"AAAAAH1/+7I=")</f>
        <v>#VALUE!</v>
      </c>
      <c r="FX98" t="e">
        <f>AND(OUTPUT!G434,"AAAAAH1/+7M=")</f>
        <v>#VALUE!</v>
      </c>
      <c r="FY98">
        <f>IF(OUTPUT!434:434,"AAAAAH1/+7Q=",0)</f>
        <v>0</v>
      </c>
      <c r="FZ98" t="e">
        <f>AND(OUTPUT!C435,"AAAAAH1/+7U=")</f>
        <v>#VALUE!</v>
      </c>
      <c r="GA98" t="e">
        <f>AND(OUTPUT!D434,"AAAAAH1/+7Y=")</f>
        <v>#VALUE!</v>
      </c>
      <c r="GB98" t="e">
        <f>AND(OUTPUT!E435,"AAAAAH1/+7c=")</f>
        <v>#VALUE!</v>
      </c>
      <c r="GC98" t="e">
        <f>AND(OUTPUT!F435,"AAAAAH1/+7g=")</f>
        <v>#VALUE!</v>
      </c>
      <c r="GD98" t="e">
        <f>AND(OUTPUT!G435,"AAAAAH1/+7k=")</f>
        <v>#VALUE!</v>
      </c>
      <c r="GE98">
        <f>IF(OUTPUT!435:435,"AAAAAH1/+7o=",0)</f>
        <v>0</v>
      </c>
      <c r="GF98" t="e">
        <f>AND(OUTPUT!C436,"AAAAAH1/+7s=")</f>
        <v>#VALUE!</v>
      </c>
      <c r="GG98" t="e">
        <f>AND(OUTPUT!D435,"AAAAAH1/+7w=")</f>
        <v>#VALUE!</v>
      </c>
      <c r="GH98" t="e">
        <f>AND(OUTPUT!E436,"AAAAAH1/+70=")</f>
        <v>#VALUE!</v>
      </c>
      <c r="GI98" t="e">
        <f>AND(OUTPUT!F436,"AAAAAH1/+74=")</f>
        <v>#VALUE!</v>
      </c>
      <c r="GJ98" t="e">
        <f>AND(OUTPUT!G436,"AAAAAH1/+78=")</f>
        <v>#VALUE!</v>
      </c>
      <c r="GK98">
        <f>IF(OUTPUT!436:436,"AAAAAH1/+8A=",0)</f>
        <v>0</v>
      </c>
      <c r="GL98" t="e">
        <f>AND(OUTPUT!C437,"AAAAAH1/+8E=")</f>
        <v>#VALUE!</v>
      </c>
      <c r="GM98" t="e">
        <f>AND(OUTPUT!D436,"AAAAAH1/+8I=")</f>
        <v>#VALUE!</v>
      </c>
      <c r="GN98" t="e">
        <f>AND(OUTPUT!E437,"AAAAAH1/+8M=")</f>
        <v>#VALUE!</v>
      </c>
      <c r="GO98" t="e">
        <f>AND(OUTPUT!F437,"AAAAAH1/+8Q=")</f>
        <v>#VALUE!</v>
      </c>
      <c r="GP98" t="e">
        <f>AND(OUTPUT!G437,"AAAAAH1/+8U=")</f>
        <v>#VALUE!</v>
      </c>
      <c r="GQ98">
        <f>IF(OUTPUT!437:437,"AAAAAH1/+8Y=",0)</f>
        <v>0</v>
      </c>
      <c r="GR98" t="e">
        <f>AND(OUTPUT!C438,"AAAAAH1/+8c=")</f>
        <v>#VALUE!</v>
      </c>
      <c r="GS98" t="e">
        <f>AND(OUTPUT!D437,"AAAAAH1/+8g=")</f>
        <v>#VALUE!</v>
      </c>
      <c r="GT98" t="e">
        <f>AND(OUTPUT!E438,"AAAAAH1/+8k=")</f>
        <v>#VALUE!</v>
      </c>
      <c r="GU98" t="e">
        <f>AND(OUTPUT!F438,"AAAAAH1/+8o=")</f>
        <v>#VALUE!</v>
      </c>
      <c r="GV98" t="e">
        <f>AND(OUTPUT!G438,"AAAAAH1/+8s=")</f>
        <v>#VALUE!</v>
      </c>
      <c r="GW98">
        <f>IF(OUTPUT!438:438,"AAAAAH1/+8w=",0)</f>
        <v>0</v>
      </c>
      <c r="GX98" t="e">
        <f>AND(OUTPUT!C439,"AAAAAH1/+80=")</f>
        <v>#VALUE!</v>
      </c>
      <c r="GY98" t="e">
        <f>AND(OUTPUT!D438,"AAAAAH1/+84=")</f>
        <v>#VALUE!</v>
      </c>
      <c r="GZ98" t="e">
        <f>AND(OUTPUT!E439,"AAAAAH1/+88=")</f>
        <v>#VALUE!</v>
      </c>
      <c r="HA98" t="e">
        <f>AND(OUTPUT!F439,"AAAAAH1/+9A=")</f>
        <v>#VALUE!</v>
      </c>
      <c r="HB98" t="e">
        <f>AND(OUTPUT!G439,"AAAAAH1/+9E=")</f>
        <v>#VALUE!</v>
      </c>
      <c r="HC98" t="s">
        <v>28</v>
      </c>
    </row>
    <row r="99" spans="1:244" x14ac:dyDescent="0.2">
      <c r="A99" t="e">
        <f>AND(INPUT!C94,"AAAAAHe/7gA=")</f>
        <v>#VALUE!</v>
      </c>
      <c r="B99" t="e">
        <f>AND(INPUT!D94,"AAAAAHe/7gE=")</f>
        <v>#VALUE!</v>
      </c>
      <c r="C99" t="e">
        <f>AND(INPUT!E94,"AAAAAHe/7gI=")</f>
        <v>#VALUE!</v>
      </c>
      <c r="D99" t="e">
        <f>AND(INPUT!G94,"AAAAAHe/7gM=")</f>
        <v>#VALUE!</v>
      </c>
      <c r="E99" t="e">
        <f>AND(INPUT!#REF!,"AAAAAHe/7gQ=")</f>
        <v>#REF!</v>
      </c>
      <c r="F99" t="e">
        <f>AND(INPUT!H94,"AAAAAHe/7gU=")</f>
        <v>#VALUE!</v>
      </c>
      <c r="G99" t="e">
        <f>AND(INPUT!#REF!,"AAAAAHe/7gY=")</f>
        <v>#REF!</v>
      </c>
      <c r="H99" t="e">
        <f>AND(INPUT!I90,"AAAAAHe/7gc=")</f>
        <v>#VALUE!</v>
      </c>
      <c r="I99" t="e">
        <f>AND(INPUT!#REF!,"AAAAAHe/7gg=")</f>
        <v>#REF!</v>
      </c>
      <c r="J99" t="e">
        <f>AND(INPUT!J90,"AAAAAHe/7gk=")</f>
        <v>#VALUE!</v>
      </c>
      <c r="K99" t="e">
        <f>AND(INPUT!K90,"AAAAAHe/7go=")</f>
        <v>#VALUE!</v>
      </c>
      <c r="L99" t="e">
        <f>AND(INPUT!#REF!,"AAAAAHe/7gs=")</f>
        <v>#REF!</v>
      </c>
      <c r="M99" t="e">
        <f>AND(INPUT!#REF!,"AAAAAHe/7gw=")</f>
        <v>#REF!</v>
      </c>
      <c r="N99" t="e">
        <f>AND(INPUT!C95,"AAAAAHe/7g0=")</f>
        <v>#VALUE!</v>
      </c>
      <c r="O99" t="e">
        <f>AND(INPUT!D95,"AAAAAHe/7g4=")</f>
        <v>#VALUE!</v>
      </c>
      <c r="P99" t="e">
        <f>AND(INPUT!E95,"AAAAAHe/7g8=")</f>
        <v>#VALUE!</v>
      </c>
      <c r="Q99" t="e">
        <f>AND(INPUT!G95,"AAAAAHe/7hA=")</f>
        <v>#VALUE!</v>
      </c>
      <c r="R99" t="e">
        <f>AND(INPUT!#REF!,"AAAAAHe/7hE=")</f>
        <v>#REF!</v>
      </c>
      <c r="S99" t="e">
        <f>AND(INPUT!H95,"AAAAAHe/7hI=")</f>
        <v>#VALUE!</v>
      </c>
      <c r="T99" t="e">
        <f>AND(INPUT!#REF!,"AAAAAHe/7hM=")</f>
        <v>#REF!</v>
      </c>
      <c r="U99" t="e">
        <f>AND(INPUT!I91,"AAAAAHe/7hQ=")</f>
        <v>#VALUE!</v>
      </c>
      <c r="V99" t="e">
        <f>AND(INPUT!#REF!,"AAAAAHe/7hU=")</f>
        <v>#REF!</v>
      </c>
      <c r="W99" t="e">
        <f>AND(INPUT!J91,"AAAAAHe/7hY=")</f>
        <v>#VALUE!</v>
      </c>
      <c r="X99" t="e">
        <f>AND(INPUT!K91,"AAAAAHe/7hc=")</f>
        <v>#VALUE!</v>
      </c>
      <c r="Y99" t="e">
        <f>AND(INPUT!#REF!,"AAAAAHe/7hg=")</f>
        <v>#REF!</v>
      </c>
      <c r="Z99" t="e">
        <f>AND(INPUT!#REF!,"AAAAAHe/7hk=")</f>
        <v>#REF!</v>
      </c>
      <c r="AA99" t="e">
        <f>AND(INPUT!C96,"AAAAAHe/7ho=")</f>
        <v>#VALUE!</v>
      </c>
      <c r="AB99" t="e">
        <f>AND(INPUT!D96,"AAAAAHe/7hs=")</f>
        <v>#VALUE!</v>
      </c>
      <c r="AC99" t="e">
        <f>AND(INPUT!E96,"AAAAAHe/7hw=")</f>
        <v>#VALUE!</v>
      </c>
      <c r="AD99" t="e">
        <f>AND(INPUT!G96,"AAAAAHe/7h0=")</f>
        <v>#VALUE!</v>
      </c>
      <c r="AE99" t="e">
        <f>AND(INPUT!#REF!,"AAAAAHe/7h4=")</f>
        <v>#REF!</v>
      </c>
      <c r="AF99" t="e">
        <f>AND(INPUT!H96,"AAAAAHe/7h8=")</f>
        <v>#VALUE!</v>
      </c>
      <c r="AG99" t="e">
        <f>AND(INPUT!#REF!,"AAAAAHe/7iA=")</f>
        <v>#REF!</v>
      </c>
      <c r="AH99" t="e">
        <f>AND(INPUT!I92,"AAAAAHe/7iE=")</f>
        <v>#VALUE!</v>
      </c>
      <c r="AI99" t="e">
        <f>AND(INPUT!#REF!,"AAAAAHe/7iI=")</f>
        <v>#REF!</v>
      </c>
      <c r="AJ99" t="e">
        <f>AND(INPUT!J92,"AAAAAHe/7iM=")</f>
        <v>#VALUE!</v>
      </c>
      <c r="AK99" t="e">
        <f>AND(INPUT!K92,"AAAAAHe/7iQ=")</f>
        <v>#VALUE!</v>
      </c>
      <c r="AL99" t="e">
        <f>AND(INPUT!#REF!,"AAAAAHe/7iU=")</f>
        <v>#REF!</v>
      </c>
      <c r="AM99" t="e">
        <f>AND(INPUT!#REF!,"AAAAAHe/7iY=")</f>
        <v>#REF!</v>
      </c>
      <c r="AN99" t="e">
        <f>AND(INPUT!C97,"AAAAAHe/7ic=")</f>
        <v>#VALUE!</v>
      </c>
      <c r="AO99" t="e">
        <f>AND(INPUT!D97,"AAAAAHe/7ig=")</f>
        <v>#VALUE!</v>
      </c>
      <c r="AP99" t="e">
        <f>AND(INPUT!E97,"AAAAAHe/7ik=")</f>
        <v>#VALUE!</v>
      </c>
      <c r="AQ99" t="e">
        <f>AND(INPUT!G97,"AAAAAHe/7io=")</f>
        <v>#VALUE!</v>
      </c>
      <c r="AR99" t="e">
        <f>AND(INPUT!#REF!,"AAAAAHe/7is=")</f>
        <v>#REF!</v>
      </c>
      <c r="AS99" t="e">
        <f>AND(INPUT!H97,"AAAAAHe/7iw=")</f>
        <v>#VALUE!</v>
      </c>
      <c r="AT99" t="e">
        <f>AND(INPUT!#REF!,"AAAAAHe/7i0=")</f>
        <v>#REF!</v>
      </c>
      <c r="AU99" t="e">
        <f>AND(INPUT!I93,"AAAAAHe/7i4=")</f>
        <v>#VALUE!</v>
      </c>
      <c r="AV99" t="e">
        <f>AND(INPUT!#REF!,"AAAAAHe/7i8=")</f>
        <v>#REF!</v>
      </c>
      <c r="AW99" t="e">
        <f>AND(INPUT!J93,"AAAAAHe/7jA=")</f>
        <v>#VALUE!</v>
      </c>
      <c r="AX99" t="e">
        <f>AND(INPUT!K93,"AAAAAHe/7jE=")</f>
        <v>#VALUE!</v>
      </c>
      <c r="AY99" t="e">
        <f>AND(INPUT!#REF!,"AAAAAHe/7jI=")</f>
        <v>#REF!</v>
      </c>
      <c r="AZ99" t="e">
        <f>AND(INPUT!#REF!,"AAAAAHe/7jM=")</f>
        <v>#REF!</v>
      </c>
      <c r="BA99" t="e">
        <f>AND(INPUT!C98,"AAAAAHe/7jQ=")</f>
        <v>#VALUE!</v>
      </c>
      <c r="BB99" t="e">
        <f>AND(INPUT!D98,"AAAAAHe/7jU=")</f>
        <v>#VALUE!</v>
      </c>
      <c r="BC99" t="e">
        <f>AND(INPUT!E98,"AAAAAHe/7jY=")</f>
        <v>#VALUE!</v>
      </c>
      <c r="BD99" t="e">
        <f>AND(INPUT!G98,"AAAAAHe/7jc=")</f>
        <v>#VALUE!</v>
      </c>
      <c r="BE99" t="e">
        <f>AND(INPUT!#REF!,"AAAAAHe/7jg=")</f>
        <v>#REF!</v>
      </c>
      <c r="BF99" t="e">
        <f>AND(INPUT!H98,"AAAAAHe/7jk=")</f>
        <v>#VALUE!</v>
      </c>
      <c r="BG99" t="e">
        <f>AND(INPUT!#REF!,"AAAAAHe/7jo=")</f>
        <v>#REF!</v>
      </c>
      <c r="BH99" t="e">
        <f>AND(INPUT!I94,"AAAAAHe/7js=")</f>
        <v>#VALUE!</v>
      </c>
      <c r="BI99" t="e">
        <f>AND(INPUT!#REF!,"AAAAAHe/7jw=")</f>
        <v>#REF!</v>
      </c>
      <c r="BJ99" t="e">
        <f>AND(INPUT!J94,"AAAAAHe/7j0=")</f>
        <v>#VALUE!</v>
      </c>
      <c r="BK99" t="e">
        <f>AND(INPUT!K94,"AAAAAHe/7j4=")</f>
        <v>#VALUE!</v>
      </c>
      <c r="BL99" t="e">
        <f>AND(INPUT!#REF!,"AAAAAHe/7j8=")</f>
        <v>#REF!</v>
      </c>
      <c r="BM99" t="e">
        <f>AND(INPUT!#REF!,"AAAAAHe/7kA=")</f>
        <v>#REF!</v>
      </c>
      <c r="BN99" t="e">
        <f>AND(INPUT!C99,"AAAAAHe/7kE=")</f>
        <v>#VALUE!</v>
      </c>
      <c r="BO99" t="e">
        <f>AND(INPUT!D99,"AAAAAHe/7kI=")</f>
        <v>#VALUE!</v>
      </c>
      <c r="BP99" t="e">
        <f>AND(INPUT!E99,"AAAAAHe/7kM=")</f>
        <v>#VALUE!</v>
      </c>
      <c r="BQ99" t="e">
        <f>AND(INPUT!G99,"AAAAAHe/7kQ=")</f>
        <v>#VALUE!</v>
      </c>
      <c r="BR99" t="e">
        <f>AND(INPUT!#REF!,"AAAAAHe/7kU=")</f>
        <v>#REF!</v>
      </c>
      <c r="BS99" t="e">
        <f>AND(INPUT!H99,"AAAAAHe/7kY=")</f>
        <v>#VALUE!</v>
      </c>
      <c r="BT99" t="e">
        <f>AND(INPUT!#REF!,"AAAAAHe/7kc=")</f>
        <v>#REF!</v>
      </c>
      <c r="BU99" t="e">
        <f>AND(INPUT!I95,"AAAAAHe/7kg=")</f>
        <v>#VALUE!</v>
      </c>
      <c r="BV99" t="e">
        <f>AND(INPUT!#REF!,"AAAAAHe/7kk=")</f>
        <v>#REF!</v>
      </c>
      <c r="BW99" t="e">
        <f>AND(INPUT!J95,"AAAAAHe/7ko=")</f>
        <v>#VALUE!</v>
      </c>
      <c r="BX99" t="e">
        <f>AND(INPUT!K95,"AAAAAHe/7ks=")</f>
        <v>#VALUE!</v>
      </c>
      <c r="BY99" t="e">
        <f>AND(INPUT!#REF!,"AAAAAHe/7kw=")</f>
        <v>#REF!</v>
      </c>
      <c r="BZ99" t="e">
        <f>AND(INPUT!#REF!,"AAAAAHe/7k0=")</f>
        <v>#REF!</v>
      </c>
      <c r="CA99" t="e">
        <f>AND(INPUT!C100,"AAAAAHe/7k4=")</f>
        <v>#VALUE!</v>
      </c>
      <c r="CB99" t="e">
        <f>AND(INPUT!D100,"AAAAAHe/7k8=")</f>
        <v>#VALUE!</v>
      </c>
      <c r="CC99" t="e">
        <f>AND(INPUT!E100,"AAAAAHe/7lA=")</f>
        <v>#VALUE!</v>
      </c>
      <c r="CD99" t="e">
        <f>AND(INPUT!G100,"AAAAAHe/7lE=")</f>
        <v>#VALUE!</v>
      </c>
      <c r="CE99" t="e">
        <f>AND(INPUT!#REF!,"AAAAAHe/7lI=")</f>
        <v>#REF!</v>
      </c>
      <c r="CF99" t="e">
        <f>AND(INPUT!H100,"AAAAAHe/7lM=")</f>
        <v>#VALUE!</v>
      </c>
      <c r="CG99" t="e">
        <f>AND(INPUT!#REF!,"AAAAAHe/7lQ=")</f>
        <v>#REF!</v>
      </c>
      <c r="CH99" t="e">
        <f>AND(INPUT!I96,"AAAAAHe/7lU=")</f>
        <v>#VALUE!</v>
      </c>
      <c r="CI99" t="e">
        <f>AND(INPUT!#REF!,"AAAAAHe/7lY=")</f>
        <v>#REF!</v>
      </c>
      <c r="CJ99" t="e">
        <f>AND(INPUT!J96,"AAAAAHe/7lc=")</f>
        <v>#VALUE!</v>
      </c>
      <c r="CK99" t="e">
        <f>AND(INPUT!K96,"AAAAAHe/7lg=")</f>
        <v>#VALUE!</v>
      </c>
      <c r="CL99" t="e">
        <f>AND(INPUT!#REF!,"AAAAAHe/7lk=")</f>
        <v>#REF!</v>
      </c>
      <c r="CM99" t="e">
        <f>AND(INPUT!#REF!,"AAAAAHe/7lo=")</f>
        <v>#REF!</v>
      </c>
      <c r="CN99" t="e">
        <f>AND(INPUT!C101,"AAAAAHe/7ls=")</f>
        <v>#VALUE!</v>
      </c>
      <c r="CO99" t="e">
        <f>AND(INPUT!D101,"AAAAAHe/7lw=")</f>
        <v>#VALUE!</v>
      </c>
      <c r="CP99" t="e">
        <f>AND(INPUT!E101,"AAAAAHe/7l0=")</f>
        <v>#VALUE!</v>
      </c>
      <c r="CQ99" t="e">
        <f>AND(INPUT!G101,"AAAAAHe/7l4=")</f>
        <v>#VALUE!</v>
      </c>
      <c r="CR99" t="e">
        <f>AND(INPUT!#REF!,"AAAAAHe/7l8=")</f>
        <v>#REF!</v>
      </c>
      <c r="CS99" t="e">
        <f>AND(INPUT!H101,"AAAAAHe/7mA=")</f>
        <v>#VALUE!</v>
      </c>
      <c r="CT99" t="e">
        <f>AND(INPUT!#REF!,"AAAAAHe/7mE=")</f>
        <v>#REF!</v>
      </c>
      <c r="CU99" t="e">
        <f>AND(INPUT!I97,"AAAAAHe/7mI=")</f>
        <v>#VALUE!</v>
      </c>
      <c r="CV99" t="e">
        <f>AND(INPUT!#REF!,"AAAAAHe/7mM=")</f>
        <v>#REF!</v>
      </c>
      <c r="CW99" t="e">
        <f>AND(INPUT!J97,"AAAAAHe/7mQ=")</f>
        <v>#VALUE!</v>
      </c>
      <c r="CX99" t="e">
        <f>AND(INPUT!K97,"AAAAAHe/7mU=")</f>
        <v>#VALUE!</v>
      </c>
      <c r="CY99" t="e">
        <f>AND(INPUT!#REF!,"AAAAAHe/7mY=")</f>
        <v>#REF!</v>
      </c>
      <c r="CZ99" t="e">
        <f>AND(INPUT!#REF!,"AAAAAHe/7mc=")</f>
        <v>#REF!</v>
      </c>
      <c r="DA99" t="e">
        <f>AND(INPUT!C102,"AAAAAHe/7mg=")</f>
        <v>#VALUE!</v>
      </c>
      <c r="DB99" t="e">
        <f>AND(INPUT!D102,"AAAAAHe/7mk=")</f>
        <v>#VALUE!</v>
      </c>
      <c r="DC99" t="e">
        <f>AND(INPUT!E102,"AAAAAHe/7mo=")</f>
        <v>#VALUE!</v>
      </c>
      <c r="DD99" t="e">
        <f>AND(INPUT!G102,"AAAAAHe/7ms=")</f>
        <v>#VALUE!</v>
      </c>
      <c r="DE99" t="e">
        <f>AND(INPUT!#REF!,"AAAAAHe/7mw=")</f>
        <v>#REF!</v>
      </c>
      <c r="DF99" t="e">
        <f>AND(INPUT!H102,"AAAAAHe/7m0=")</f>
        <v>#VALUE!</v>
      </c>
      <c r="DG99" t="e">
        <f>AND(INPUT!#REF!,"AAAAAHe/7m4=")</f>
        <v>#REF!</v>
      </c>
      <c r="DH99" t="e">
        <f>AND(INPUT!I98,"AAAAAHe/7m8=")</f>
        <v>#VALUE!</v>
      </c>
      <c r="DI99" t="e">
        <f>AND(INPUT!#REF!,"AAAAAHe/7nA=")</f>
        <v>#REF!</v>
      </c>
      <c r="DJ99" t="e">
        <f>AND(INPUT!J98,"AAAAAHe/7nE=")</f>
        <v>#VALUE!</v>
      </c>
      <c r="DK99" t="e">
        <f>AND(INPUT!K98,"AAAAAHe/7nI=")</f>
        <v>#VALUE!</v>
      </c>
      <c r="DL99" t="e">
        <f>AND(INPUT!#REF!,"AAAAAHe/7nM=")</f>
        <v>#REF!</v>
      </c>
      <c r="DM99" t="e">
        <f>AND(INPUT!#REF!,"AAAAAHe/7nQ=")</f>
        <v>#REF!</v>
      </c>
      <c r="DN99" t="e">
        <f>AND(INPUT!C103,"AAAAAHe/7nU=")</f>
        <v>#VALUE!</v>
      </c>
      <c r="DO99" t="e">
        <f>AND(INPUT!D103,"AAAAAHe/7nY=")</f>
        <v>#VALUE!</v>
      </c>
      <c r="DP99" t="e">
        <f>AND(INPUT!E103,"AAAAAHe/7nc=")</f>
        <v>#VALUE!</v>
      </c>
      <c r="DQ99" t="e">
        <f>AND(INPUT!G103,"AAAAAHe/7ng=")</f>
        <v>#VALUE!</v>
      </c>
      <c r="DR99" t="e">
        <f>AND(INPUT!#REF!,"AAAAAHe/7nk=")</f>
        <v>#REF!</v>
      </c>
      <c r="DS99" t="e">
        <f>AND(INPUT!H103,"AAAAAHe/7no=")</f>
        <v>#VALUE!</v>
      </c>
      <c r="DT99" t="e">
        <f>AND(INPUT!#REF!,"AAAAAHe/7ns=")</f>
        <v>#REF!</v>
      </c>
      <c r="DU99" t="e">
        <f>AND(INPUT!I99,"AAAAAHe/7nw=")</f>
        <v>#VALUE!</v>
      </c>
      <c r="DV99" t="e">
        <f>AND(INPUT!#REF!,"AAAAAHe/7n0=")</f>
        <v>#REF!</v>
      </c>
      <c r="DW99" t="e">
        <f>AND(INPUT!J99,"AAAAAHe/7n4=")</f>
        <v>#VALUE!</v>
      </c>
      <c r="DX99" t="e">
        <f>AND(INPUT!K99,"AAAAAHe/7n8=")</f>
        <v>#VALUE!</v>
      </c>
      <c r="DY99" t="e">
        <f>AND(INPUT!#REF!,"AAAAAHe/7oA=")</f>
        <v>#REF!</v>
      </c>
      <c r="DZ99" t="e">
        <f>AND(INPUT!#REF!,"AAAAAHe/7oE=")</f>
        <v>#REF!</v>
      </c>
      <c r="EA99" t="e">
        <f>AND(INPUT!C104,"AAAAAHe/7oI=")</f>
        <v>#VALUE!</v>
      </c>
      <c r="EB99" t="e">
        <f>AND(INPUT!D104,"AAAAAHe/7oM=")</f>
        <v>#VALUE!</v>
      </c>
      <c r="EC99" t="e">
        <f>AND(INPUT!E104,"AAAAAHe/7oQ=")</f>
        <v>#VALUE!</v>
      </c>
      <c r="ED99" t="e">
        <f>AND(INPUT!G104,"AAAAAHe/7oU=")</f>
        <v>#VALUE!</v>
      </c>
      <c r="EE99" t="e">
        <f>AND(INPUT!#REF!,"AAAAAHe/7oY=")</f>
        <v>#REF!</v>
      </c>
      <c r="EF99" t="e">
        <f>AND(INPUT!H104,"AAAAAHe/7oc=")</f>
        <v>#VALUE!</v>
      </c>
      <c r="EG99" t="e">
        <f>AND(INPUT!#REF!,"AAAAAHe/7og=")</f>
        <v>#REF!</v>
      </c>
      <c r="EH99" t="e">
        <f>AND(INPUT!I100,"AAAAAHe/7ok=")</f>
        <v>#VALUE!</v>
      </c>
      <c r="EI99" t="e">
        <f>AND(INPUT!#REF!,"AAAAAHe/7oo=")</f>
        <v>#REF!</v>
      </c>
      <c r="EJ99" t="e">
        <f>AND(INPUT!J100,"AAAAAHe/7os=")</f>
        <v>#VALUE!</v>
      </c>
      <c r="EK99" t="e">
        <f>AND(INPUT!K100,"AAAAAHe/7ow=")</f>
        <v>#VALUE!</v>
      </c>
      <c r="EL99" t="e">
        <f>AND(INPUT!#REF!,"AAAAAHe/7o0=")</f>
        <v>#REF!</v>
      </c>
      <c r="EM99" t="e">
        <f>AND(INPUT!#REF!,"AAAAAHe/7o4=")</f>
        <v>#REF!</v>
      </c>
      <c r="EN99" t="e">
        <f>AND(INPUT!C105,"AAAAAHe/7o8=")</f>
        <v>#VALUE!</v>
      </c>
      <c r="EO99" t="e">
        <f>AND(INPUT!D105,"AAAAAHe/7pA=")</f>
        <v>#VALUE!</v>
      </c>
      <c r="EP99" t="e">
        <f>AND(INPUT!E105,"AAAAAHe/7pE=")</f>
        <v>#VALUE!</v>
      </c>
      <c r="EQ99" t="e">
        <f>AND(INPUT!G105,"AAAAAHe/7pI=")</f>
        <v>#VALUE!</v>
      </c>
      <c r="ER99" t="e">
        <f>AND(INPUT!#REF!,"AAAAAHe/7pM=")</f>
        <v>#REF!</v>
      </c>
      <c r="ES99" t="e">
        <f>AND(INPUT!H105,"AAAAAHe/7pQ=")</f>
        <v>#VALUE!</v>
      </c>
      <c r="ET99" t="e">
        <f>AND(INPUT!#REF!,"AAAAAHe/7pU=")</f>
        <v>#REF!</v>
      </c>
      <c r="EU99" t="e">
        <f>AND(INPUT!I101,"AAAAAHe/7pY=")</f>
        <v>#VALUE!</v>
      </c>
      <c r="EV99" t="e">
        <f>AND(INPUT!#REF!,"AAAAAHe/7pc=")</f>
        <v>#REF!</v>
      </c>
      <c r="EW99" t="e">
        <f>AND(INPUT!J101,"AAAAAHe/7pg=")</f>
        <v>#VALUE!</v>
      </c>
      <c r="EX99" t="e">
        <f>AND(INPUT!K101,"AAAAAHe/7pk=")</f>
        <v>#VALUE!</v>
      </c>
      <c r="EY99" t="e">
        <f>AND(INPUT!#REF!,"AAAAAHe/7po=")</f>
        <v>#REF!</v>
      </c>
      <c r="EZ99" t="e">
        <f>AND(INPUT!#REF!,"AAAAAHe/7ps=")</f>
        <v>#REF!</v>
      </c>
      <c r="FA99" t="e">
        <f>AND(INPUT!C106,"AAAAAHe/7pw=")</f>
        <v>#VALUE!</v>
      </c>
      <c r="FB99" t="e">
        <f>AND(INPUT!D106,"AAAAAHe/7p0=")</f>
        <v>#VALUE!</v>
      </c>
      <c r="FC99" t="e">
        <f>AND(INPUT!E106,"AAAAAHe/7p4=")</f>
        <v>#VALUE!</v>
      </c>
      <c r="FD99" t="e">
        <f>AND(INPUT!G106,"AAAAAHe/7p8=")</f>
        <v>#VALUE!</v>
      </c>
      <c r="FE99" t="e">
        <f>AND(INPUT!#REF!,"AAAAAHe/7qA=")</f>
        <v>#REF!</v>
      </c>
      <c r="FF99" t="e">
        <f>AND(INPUT!H106,"AAAAAHe/7qE=")</f>
        <v>#VALUE!</v>
      </c>
      <c r="FG99" t="e">
        <f>AND(INPUT!#REF!,"AAAAAHe/7qI=")</f>
        <v>#REF!</v>
      </c>
      <c r="FH99" t="e">
        <f>AND(INPUT!I102,"AAAAAHe/7qM=")</f>
        <v>#VALUE!</v>
      </c>
      <c r="FI99" t="e">
        <f>AND(INPUT!#REF!,"AAAAAHe/7qQ=")</f>
        <v>#REF!</v>
      </c>
      <c r="FJ99" t="e">
        <f>AND(INPUT!J102,"AAAAAHe/7qU=")</f>
        <v>#VALUE!</v>
      </c>
      <c r="FK99" t="e">
        <f>AND(INPUT!K102,"AAAAAHe/7qY=")</f>
        <v>#VALUE!</v>
      </c>
      <c r="FL99" t="e">
        <f>AND(INPUT!#REF!,"AAAAAHe/7qc=")</f>
        <v>#REF!</v>
      </c>
      <c r="FM99" t="e">
        <f>AND(INPUT!#REF!,"AAAAAHe/7qg=")</f>
        <v>#REF!</v>
      </c>
      <c r="FN99" t="e">
        <f>AND(INPUT!C107,"AAAAAHe/7qk=")</f>
        <v>#VALUE!</v>
      </c>
      <c r="FO99" t="e">
        <f>AND(INPUT!D107,"AAAAAHe/7qo=")</f>
        <v>#VALUE!</v>
      </c>
      <c r="FP99" t="e">
        <f>AND(INPUT!E107,"AAAAAHe/7qs=")</f>
        <v>#VALUE!</v>
      </c>
      <c r="FQ99" t="e">
        <f>AND(INPUT!G107,"AAAAAHe/7qw=")</f>
        <v>#VALUE!</v>
      </c>
      <c r="FR99" t="e">
        <f>AND(INPUT!#REF!,"AAAAAHe/7q0=")</f>
        <v>#REF!</v>
      </c>
      <c r="FS99" t="e">
        <f>AND(INPUT!H107,"AAAAAHe/7q4=")</f>
        <v>#VALUE!</v>
      </c>
      <c r="FT99" t="e">
        <f>AND(INPUT!#REF!,"AAAAAHe/7q8=")</f>
        <v>#REF!</v>
      </c>
      <c r="FU99" t="e">
        <f>AND(INPUT!I103,"AAAAAHe/7rA=")</f>
        <v>#VALUE!</v>
      </c>
      <c r="FV99" t="e">
        <f>AND(INPUT!#REF!,"AAAAAHe/7rE=")</f>
        <v>#REF!</v>
      </c>
      <c r="FW99" t="e">
        <f>AND(INPUT!J103,"AAAAAHe/7rI=")</f>
        <v>#VALUE!</v>
      </c>
      <c r="FX99" t="e">
        <f>AND(INPUT!K103,"AAAAAHe/7rM=")</f>
        <v>#VALUE!</v>
      </c>
      <c r="FY99" t="e">
        <f>AND(INPUT!#REF!,"AAAAAHe/7rQ=")</f>
        <v>#REF!</v>
      </c>
      <c r="FZ99" t="e">
        <f>AND(INPUT!#REF!,"AAAAAHe/7rU=")</f>
        <v>#REF!</v>
      </c>
      <c r="GA99" t="e">
        <f>AND(INPUT!C108,"AAAAAHe/7rY=")</f>
        <v>#VALUE!</v>
      </c>
      <c r="GB99" t="e">
        <f>AND(INPUT!D108,"AAAAAHe/7rc=")</f>
        <v>#VALUE!</v>
      </c>
      <c r="GC99" t="e">
        <f>AND(INPUT!E108,"AAAAAHe/7rg=")</f>
        <v>#VALUE!</v>
      </c>
      <c r="GD99" t="e">
        <f>AND(INPUT!G108,"AAAAAHe/7rk=")</f>
        <v>#VALUE!</v>
      </c>
      <c r="GE99" t="e">
        <f>AND(INPUT!#REF!,"AAAAAHe/7ro=")</f>
        <v>#REF!</v>
      </c>
      <c r="GF99" t="e">
        <f>AND(INPUT!H108,"AAAAAHe/7rs=")</f>
        <v>#VALUE!</v>
      </c>
      <c r="GG99" t="e">
        <f>AND(INPUT!#REF!,"AAAAAHe/7rw=")</f>
        <v>#REF!</v>
      </c>
      <c r="GH99" t="e">
        <f>AND(INPUT!I104,"AAAAAHe/7r0=")</f>
        <v>#VALUE!</v>
      </c>
      <c r="GI99" t="e">
        <f>AND(INPUT!#REF!,"AAAAAHe/7r4=")</f>
        <v>#REF!</v>
      </c>
      <c r="GJ99" t="e">
        <f>AND(INPUT!J104,"AAAAAHe/7r8=")</f>
        <v>#VALUE!</v>
      </c>
      <c r="GK99" t="e">
        <f>AND(INPUT!K104,"AAAAAHe/7sA=")</f>
        <v>#VALUE!</v>
      </c>
      <c r="GL99" t="e">
        <f>AND(INPUT!#REF!,"AAAAAHe/7sE=")</f>
        <v>#REF!</v>
      </c>
      <c r="GM99" t="e">
        <f>AND(INPUT!#REF!,"AAAAAHe/7sI=")</f>
        <v>#REF!</v>
      </c>
      <c r="GN99" t="e">
        <f>AND(INPUT!C109,"AAAAAHe/7sM=")</f>
        <v>#VALUE!</v>
      </c>
      <c r="GO99" t="e">
        <f>AND(INPUT!D109,"AAAAAHe/7sQ=")</f>
        <v>#VALUE!</v>
      </c>
      <c r="GP99" t="e">
        <f>AND(INPUT!E109,"AAAAAHe/7sU=")</f>
        <v>#VALUE!</v>
      </c>
      <c r="GQ99" t="e">
        <f>AND(INPUT!G109,"AAAAAHe/7sY=")</f>
        <v>#VALUE!</v>
      </c>
      <c r="GR99" t="e">
        <f>AND(INPUT!#REF!,"AAAAAHe/7sc=")</f>
        <v>#REF!</v>
      </c>
      <c r="GS99" t="e">
        <f>AND(INPUT!H109,"AAAAAHe/7sg=")</f>
        <v>#VALUE!</v>
      </c>
      <c r="GT99" t="e">
        <f>AND(INPUT!#REF!,"AAAAAHe/7sk=")</f>
        <v>#REF!</v>
      </c>
      <c r="GU99" t="e">
        <f>AND(INPUT!I105,"AAAAAHe/7so=")</f>
        <v>#VALUE!</v>
      </c>
      <c r="GV99" t="e">
        <f>AND(INPUT!#REF!,"AAAAAHe/7ss=")</f>
        <v>#REF!</v>
      </c>
      <c r="GW99" t="e">
        <f>AND(INPUT!J105,"AAAAAHe/7sw=")</f>
        <v>#VALUE!</v>
      </c>
      <c r="GX99" t="e">
        <f>AND(INPUT!K105,"AAAAAHe/7s0=")</f>
        <v>#VALUE!</v>
      </c>
      <c r="GY99" t="e">
        <f>AND(INPUT!#REF!,"AAAAAHe/7s4=")</f>
        <v>#REF!</v>
      </c>
      <c r="GZ99" t="e">
        <f>AND(INPUT!#REF!,"AAAAAHe/7s8=")</f>
        <v>#REF!</v>
      </c>
      <c r="HA99" t="e">
        <f>AND(INPUT!C110,"AAAAAHe/7tA=")</f>
        <v>#VALUE!</v>
      </c>
      <c r="HB99" t="e">
        <f>AND(INPUT!D110,"AAAAAHe/7tE=")</f>
        <v>#VALUE!</v>
      </c>
      <c r="HC99" t="e">
        <f>AND(INPUT!E110,"AAAAAHe/7tI=")</f>
        <v>#VALUE!</v>
      </c>
      <c r="HD99" t="e">
        <f>AND(INPUT!G110,"AAAAAHe/7tM=")</f>
        <v>#VALUE!</v>
      </c>
      <c r="HE99" t="e">
        <f>AND(INPUT!#REF!,"AAAAAHe/7tQ=")</f>
        <v>#REF!</v>
      </c>
      <c r="HF99" t="e">
        <f>AND(INPUT!H110,"AAAAAHe/7tU=")</f>
        <v>#VALUE!</v>
      </c>
      <c r="HG99" t="e">
        <f>AND(INPUT!#REF!,"AAAAAHe/7tY=")</f>
        <v>#REF!</v>
      </c>
      <c r="HH99" t="e">
        <f>AND(INPUT!I106,"AAAAAHe/7tc=")</f>
        <v>#VALUE!</v>
      </c>
      <c r="HI99" t="e">
        <f>AND(INPUT!#REF!,"AAAAAHe/7tg=")</f>
        <v>#REF!</v>
      </c>
      <c r="HJ99" t="e">
        <f>AND(INPUT!J106,"AAAAAHe/7tk=")</f>
        <v>#VALUE!</v>
      </c>
      <c r="HK99" t="e">
        <f>AND(INPUT!K106,"AAAAAHe/7to=")</f>
        <v>#VALUE!</v>
      </c>
      <c r="HL99" t="e">
        <f>AND(INPUT!#REF!,"AAAAAHe/7ts=")</f>
        <v>#REF!</v>
      </c>
      <c r="HM99" t="e">
        <f>AND(INPUT!#REF!,"AAAAAHe/7tw=")</f>
        <v>#REF!</v>
      </c>
      <c r="HN99">
        <f>IF(STOCK!19:19,"AAAAAHe/7t0=",0)</f>
        <v>0</v>
      </c>
      <c r="HO99" t="e">
        <f>AND(STOCK!C18,"AAAAAHe/7t4=")</f>
        <v>#VALUE!</v>
      </c>
      <c r="HP99" t="e">
        <f>AND(STOCK!D19,"AAAAAHe/7t8=")</f>
        <v>#VALUE!</v>
      </c>
      <c r="HQ99" t="e">
        <f>AND(STOCK!E19,"AAAAAHe/7uA=")</f>
        <v>#VALUE!</v>
      </c>
      <c r="HR99" t="e">
        <f>AND(STOCK!F19,"AAAAAHe/7uE=")</f>
        <v>#VALUE!</v>
      </c>
      <c r="HS99" t="e">
        <f>AND(STOCK!#REF!,"AAAAAHe/7uI=")</f>
        <v>#REF!</v>
      </c>
      <c r="HT99" t="e">
        <f>AND(STOCK!#REF!,"AAAAAHe/7uM=")</f>
        <v>#REF!</v>
      </c>
      <c r="HU99" t="e">
        <f>AND(STOCK!#REF!,"AAAAAHe/7uQ=")</f>
        <v>#REF!</v>
      </c>
      <c r="HV99" t="e">
        <f>AND(STOCK!#REF!,"AAAAAHe/7uU=")</f>
        <v>#REF!</v>
      </c>
      <c r="HW99" t="e">
        <f>AND(STOCK!#REF!,"AAAAAHe/7uY=")</f>
        <v>#REF!</v>
      </c>
      <c r="HX99" t="e">
        <f>AND(STOCK!#REF!,"AAAAAHe/7uc=")</f>
        <v>#REF!</v>
      </c>
      <c r="HY99">
        <f>IF(STOCK!29:29,"AAAAAHe/7ug=",0)</f>
        <v>0</v>
      </c>
      <c r="HZ99" t="e">
        <f>AND(STOCK!C28,"AAAAAHe/7uk=")</f>
        <v>#VALUE!</v>
      </c>
      <c r="IA99" t="e">
        <f>AND(STOCK!D29,"AAAAAHe/7uo=")</f>
        <v>#VALUE!</v>
      </c>
      <c r="IB99" t="e">
        <f>AND(STOCK!E29,"AAAAAHe/7us=")</f>
        <v>#VALUE!</v>
      </c>
      <c r="IC99" t="e">
        <f>AND(STOCK!F29,"AAAAAHe/7uw=")</f>
        <v>#VALUE!</v>
      </c>
      <c r="ID99" t="e">
        <f>AND(STOCK!#REF!,"AAAAAHe/7u0=")</f>
        <v>#REF!</v>
      </c>
      <c r="IE99" t="e">
        <f>AND(STOCK!#REF!,"AAAAAHe/7u4=")</f>
        <v>#REF!</v>
      </c>
      <c r="IF99" t="e">
        <f>AND(STOCK!#REF!,"AAAAAHe/7u8=")</f>
        <v>#REF!</v>
      </c>
      <c r="IG99" t="e">
        <f>AND(STOCK!#REF!,"AAAAAHe/7vA=")</f>
        <v>#REF!</v>
      </c>
      <c r="IH99" t="e">
        <f>AND(STOCK!#REF!,"AAAAAHe/7vE=")</f>
        <v>#REF!</v>
      </c>
      <c r="II99" t="e">
        <f>AND(STOCK!#REF!,"AAAAAHe/7vI=")</f>
        <v>#REF!</v>
      </c>
      <c r="IJ99" t="s">
        <v>29</v>
      </c>
    </row>
    <row r="100" spans="1:244" x14ac:dyDescent="0.2">
      <c r="A100" t="s">
        <v>30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INPUT</vt:lpstr>
      <vt:lpstr>OUTPUT</vt:lpstr>
      <vt:lpstr>STOCK</vt:lpstr>
      <vt:lpstr>IMPRIMIR</vt:lpstr>
      <vt:lpstr>SELECCIONAR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equipo1</dc:creator>
  <cp:keywords/>
  <dc:description/>
  <cp:lastModifiedBy>Rocío Ortega</cp:lastModifiedBy>
  <cp:revision/>
  <cp:lastPrinted>2020-09-27T00:01:27Z</cp:lastPrinted>
  <dcterms:created xsi:type="dcterms:W3CDTF">2020-09-13T06:33:43Z</dcterms:created>
  <dcterms:modified xsi:type="dcterms:W3CDTF">2021-06-16T16:39:42Z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false</vt:lpwstr>
  </property>
  <property fmtid="{D5CDD505-2E9C-101B-9397-08002B2CF9AE}" pid="3" name="Google.Documents.DocumentId">
    <vt:lpwstr>1y3xUgk0xgnmTMbgbm_m2y8o1v2u06JL4kLcfnvAGJpU</vt:lpwstr>
  </property>
  <property fmtid="{D5CDD505-2E9C-101B-9397-08002B2CF9AE}" pid="4" name="Google.Documents.RevisionId">
    <vt:lpwstr>13060184952989015077</vt:lpwstr>
  </property>
  <property fmtid="{D5CDD505-2E9C-101B-9397-08002B2CF9AE}" pid="5" name="Google.Documents.PreviousRevisionId">
    <vt:lpwstr>05781293925557790079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